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dokumenti\FINANCIJSKI PLAN\FINANCIJSKI PLAN 2023\FINANCIJSKI PLAN\06-2023-IZVJEŠTAJ O IZVRŠENJU FIN.PLANA\"/>
    </mc:Choice>
  </mc:AlternateContent>
  <bookViews>
    <workbookView xWindow="0" yWindow="0" windowWidth="28770" windowHeight="13500" firstSheet="5" activeTab="9"/>
  </bookViews>
  <sheets>
    <sheet name="TBL.1-Opći dio_sažetak" sheetId="1" r:id="rId1"/>
    <sheet name="TBL.2-Opći dio_PR-RA- If" sheetId="8" r:id="rId2"/>
    <sheet name="TBL.8-Poseban dio_RA" sheetId="26" r:id="rId3"/>
    <sheet name="TBL.3-Opći dio_prihodi-ek.k" sheetId="22" r:id="rId4"/>
    <sheet name="TBL.4-Opći dio_prihodi-if" sheetId="23" r:id="rId5"/>
    <sheet name="TBL.5-Opći dio_rashodi-ek.k" sheetId="24" r:id="rId6"/>
    <sheet name="TBL.6-Opći dio_rashodi-if" sheetId="25" r:id="rId7"/>
    <sheet name="TBL.7-Zaključak" sheetId="33" r:id="rId8"/>
    <sheet name="TBL.9-Posebni izvj.-jamstva" sheetId="35" r:id="rId9"/>
    <sheet name="TBL.10-Posebni izvj.sudski spor" sheetId="37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35" l="1"/>
  <c r="E11" i="33" l="1"/>
  <c r="E9" i="33"/>
  <c r="E16" i="25"/>
  <c r="E17" i="23"/>
  <c r="E13" i="23"/>
  <c r="E33" i="22"/>
  <c r="E31" i="22"/>
  <c r="E31" i="8"/>
  <c r="E30" i="8"/>
  <c r="E28" i="8"/>
  <c r="E27" i="8"/>
  <c r="E26" i="8"/>
  <c r="E17" i="8"/>
  <c r="D25" i="1"/>
  <c r="D24" i="1"/>
  <c r="D23" i="1"/>
  <c r="D22" i="1"/>
  <c r="D21" i="1"/>
  <c r="D12" i="1"/>
  <c r="D9" i="22" l="1"/>
  <c r="D10" i="22"/>
  <c r="I255" i="26" l="1"/>
  <c r="I256" i="26"/>
  <c r="I257" i="26"/>
  <c r="I258" i="26"/>
  <c r="I259" i="26"/>
  <c r="I260" i="26"/>
  <c r="G13" i="33"/>
  <c r="G9" i="33"/>
  <c r="F9" i="33"/>
  <c r="I9" i="33" s="1"/>
  <c r="D9" i="33"/>
  <c r="H8" i="33"/>
  <c r="I11" i="33"/>
  <c r="H11" i="33"/>
  <c r="I10" i="33"/>
  <c r="H10" i="33"/>
  <c r="I8" i="33"/>
  <c r="I7" i="33"/>
  <c r="H7" i="33"/>
  <c r="H9" i="33" l="1"/>
  <c r="D13" i="33"/>
  <c r="H13" i="33" s="1"/>
  <c r="I8" i="25"/>
  <c r="I9" i="25"/>
  <c r="I10" i="25"/>
  <c r="I11" i="25"/>
  <c r="I12" i="25"/>
  <c r="I13" i="25"/>
  <c r="I14" i="25"/>
  <c r="I15" i="25"/>
  <c r="I16" i="25"/>
  <c r="H10" i="25"/>
  <c r="H8" i="25"/>
  <c r="H9" i="25"/>
  <c r="H11" i="25"/>
  <c r="H12" i="25"/>
  <c r="H13" i="25"/>
  <c r="H14" i="25"/>
  <c r="H15" i="25"/>
  <c r="H16" i="25"/>
  <c r="G13" i="25"/>
  <c r="G124" i="26" l="1"/>
  <c r="H104" i="26"/>
  <c r="H101" i="26"/>
  <c r="H93" i="26"/>
  <c r="H59" i="26"/>
  <c r="H161" i="26"/>
  <c r="H201" i="26"/>
  <c r="H192" i="26"/>
  <c r="H141" i="26"/>
  <c r="H148" i="26"/>
  <c r="H143" i="26"/>
  <c r="H55" i="26"/>
  <c r="H47" i="26"/>
  <c r="H40" i="26"/>
  <c r="H39" i="26"/>
  <c r="H237" i="26"/>
  <c r="H235" i="26"/>
  <c r="H232" i="26"/>
  <c r="H230" i="26"/>
  <c r="H225" i="26"/>
  <c r="H223" i="26"/>
  <c r="H220" i="26"/>
  <c r="H218" i="26"/>
  <c r="H211" i="26"/>
  <c r="H207" i="26"/>
  <c r="G261" i="26"/>
  <c r="G244" i="26"/>
  <c r="G246" i="26"/>
  <c r="G248" i="26"/>
  <c r="G251" i="26"/>
  <c r="G250" i="26" s="1"/>
  <c r="G237" i="26"/>
  <c r="G230" i="26"/>
  <c r="G232" i="26"/>
  <c r="G235" i="26"/>
  <c r="G211" i="26"/>
  <c r="G224" i="26"/>
  <c r="G218" i="26"/>
  <c r="G220" i="26"/>
  <c r="G207" i="26"/>
  <c r="G192" i="26"/>
  <c r="G201" i="26"/>
  <c r="G200" i="26"/>
  <c r="G199" i="26"/>
  <c r="G198" i="26"/>
  <c r="G188" i="26"/>
  <c r="G183" i="26"/>
  <c r="G187" i="26"/>
  <c r="G176" i="26"/>
  <c r="G166" i="26"/>
  <c r="G159" i="26"/>
  <c r="G158" i="26" s="1"/>
  <c r="G157" i="26" s="1"/>
  <c r="G156" i="26" s="1"/>
  <c r="G153" i="26"/>
  <c r="G148" i="26"/>
  <c r="G141" i="26"/>
  <c r="G143" i="26"/>
  <c r="H100" i="26" l="1"/>
  <c r="H159" i="26"/>
  <c r="G165" i="26"/>
  <c r="I165" i="26" s="1"/>
  <c r="H222" i="26"/>
  <c r="G152" i="26"/>
  <c r="H103" i="26"/>
  <c r="G175" i="26"/>
  <c r="G223" i="26"/>
  <c r="G222" i="26" s="1"/>
  <c r="H92" i="26"/>
  <c r="H229" i="26"/>
  <c r="G229" i="26"/>
  <c r="G228" i="26" s="1"/>
  <c r="G227" i="26" s="1"/>
  <c r="H140" i="26"/>
  <c r="G185" i="26"/>
  <c r="G182" i="26" s="1"/>
  <c r="G206" i="26"/>
  <c r="G205" i="26" s="1"/>
  <c r="H206" i="26"/>
  <c r="G243" i="26"/>
  <c r="G242" i="26" s="1"/>
  <c r="G241" i="26" s="1"/>
  <c r="G240" i="26" s="1"/>
  <c r="G196" i="26"/>
  <c r="G191" i="26" s="1"/>
  <c r="G190" i="26" s="1"/>
  <c r="G189" i="26" s="1"/>
  <c r="G140" i="26"/>
  <c r="G139" i="26" s="1"/>
  <c r="G138" i="26" s="1"/>
  <c r="G164" i="26"/>
  <c r="H228" i="26" l="1"/>
  <c r="I229" i="26"/>
  <c r="G151" i="26"/>
  <c r="I152" i="26"/>
  <c r="I223" i="26"/>
  <c r="G163" i="26"/>
  <c r="I163" i="26" s="1"/>
  <c r="I164" i="26"/>
  <c r="H205" i="26"/>
  <c r="I206" i="26"/>
  <c r="H158" i="26"/>
  <c r="G204" i="26"/>
  <c r="G174" i="26"/>
  <c r="I175" i="26"/>
  <c r="H139" i="26"/>
  <c r="I140" i="26"/>
  <c r="H91" i="26"/>
  <c r="I222" i="26"/>
  <c r="H99" i="26"/>
  <c r="G181" i="26"/>
  <c r="G180" i="26" s="1"/>
  <c r="G179" i="26" s="1"/>
  <c r="G135" i="26"/>
  <c r="G133" i="26"/>
  <c r="G127" i="26"/>
  <c r="G118" i="26"/>
  <c r="G104" i="26"/>
  <c r="G101" i="26"/>
  <c r="G110" i="26"/>
  <c r="G109" i="26" s="1"/>
  <c r="G108" i="26" s="1"/>
  <c r="G107" i="26" s="1"/>
  <c r="G106" i="26" s="1"/>
  <c r="G89" i="26"/>
  <c r="G88" i="26" s="1"/>
  <c r="G87" i="26" s="1"/>
  <c r="G93" i="26"/>
  <c r="G84" i="26"/>
  <c r="G77" i="26"/>
  <c r="G70" i="26"/>
  <c r="G69" i="26" s="1"/>
  <c r="G61" i="26"/>
  <c r="G59" i="26"/>
  <c r="G45" i="26"/>
  <c r="G35" i="26"/>
  <c r="G31" i="26"/>
  <c r="G25" i="26"/>
  <c r="G24" i="26" s="1"/>
  <c r="G21" i="26"/>
  <c r="G18" i="26"/>
  <c r="G13" i="26"/>
  <c r="H138" i="26" l="1"/>
  <c r="I138" i="26" s="1"/>
  <c r="I139" i="26"/>
  <c r="H204" i="26"/>
  <c r="I204" i="26" s="1"/>
  <c r="I205" i="26"/>
  <c r="G117" i="26"/>
  <c r="G92" i="26"/>
  <c r="G103" i="26"/>
  <c r="I103" i="26" s="1"/>
  <c r="H157" i="26"/>
  <c r="I158" i="26"/>
  <c r="G150" i="26"/>
  <c r="I150" i="26" s="1"/>
  <c r="I151" i="26"/>
  <c r="G173" i="26"/>
  <c r="I173" i="26" s="1"/>
  <c r="I174" i="26"/>
  <c r="G100" i="26"/>
  <c r="I100" i="26" s="1"/>
  <c r="H98" i="26"/>
  <c r="H227" i="26"/>
  <c r="I227" i="26" s="1"/>
  <c r="I228" i="26"/>
  <c r="G76" i="26"/>
  <c r="G75" i="26" s="1"/>
  <c r="G74" i="26" s="1"/>
  <c r="G123" i="26"/>
  <c r="G122" i="26" s="1"/>
  <c r="G121" i="26" s="1"/>
  <c r="G30" i="26"/>
  <c r="G29" i="26" s="1"/>
  <c r="G28" i="26" s="1"/>
  <c r="G12" i="26"/>
  <c r="G11" i="26" s="1"/>
  <c r="G10" i="26" s="1"/>
  <c r="H156" i="26" l="1"/>
  <c r="I156" i="26" s="1"/>
  <c r="I157" i="26"/>
  <c r="G91" i="26"/>
  <c r="I92" i="26"/>
  <c r="G99" i="26"/>
  <c r="G116" i="26"/>
  <c r="I117" i="26"/>
  <c r="G115" i="26" l="1"/>
  <c r="I116" i="26"/>
  <c r="G98" i="26"/>
  <c r="I98" i="26" s="1"/>
  <c r="I99" i="26"/>
  <c r="G86" i="26"/>
  <c r="I91" i="26"/>
  <c r="F8" i="25"/>
  <c r="D13" i="25"/>
  <c r="D12" i="25"/>
  <c r="D11" i="25"/>
  <c r="D10" i="25"/>
  <c r="D9" i="25"/>
  <c r="D8" i="25"/>
  <c r="D7" i="25"/>
  <c r="F66" i="24"/>
  <c r="F63" i="24"/>
  <c r="F57" i="24"/>
  <c r="F56" i="24" s="1"/>
  <c r="F53" i="24"/>
  <c r="F40" i="24"/>
  <c r="F38" i="24"/>
  <c r="F28" i="24"/>
  <c r="F21" i="24"/>
  <c r="F16" i="24"/>
  <c r="F15" i="24" s="1"/>
  <c r="F13" i="24"/>
  <c r="F11" i="24"/>
  <c r="F7" i="24" s="1"/>
  <c r="F8" i="24"/>
  <c r="K38" i="24"/>
  <c r="K54" i="24"/>
  <c r="K53" i="24" s="1"/>
  <c r="G9" i="26" l="1"/>
  <c r="G8" i="26" s="1"/>
  <c r="G7" i="26" s="1"/>
  <c r="G253" i="26" s="1"/>
  <c r="I115" i="26"/>
  <c r="G114" i="26"/>
  <c r="D16" i="25"/>
  <c r="F52" i="24"/>
  <c r="I52" i="24"/>
  <c r="F51" i="24"/>
  <c r="F48" i="24" s="1"/>
  <c r="F47" i="24" s="1"/>
  <c r="F6" i="24" s="1"/>
  <c r="F68" i="24" s="1"/>
  <c r="D16" i="23"/>
  <c r="D15" i="23"/>
  <c r="D14" i="23"/>
  <c r="D11" i="23"/>
  <c r="D9" i="23"/>
  <c r="D8" i="23"/>
  <c r="D7" i="23"/>
  <c r="H12" i="23"/>
  <c r="I12" i="23"/>
  <c r="I6" i="24" l="1"/>
  <c r="I5" i="24" l="1"/>
  <c r="I68" i="24"/>
  <c r="D32" i="22"/>
  <c r="D28" i="22"/>
  <c r="D24" i="22"/>
  <c r="D22" i="22"/>
  <c r="D21" i="22"/>
  <c r="D18" i="22"/>
  <c r="D15" i="22"/>
  <c r="D13" i="22"/>
  <c r="D12" i="22" s="1"/>
  <c r="I8" i="8"/>
  <c r="I11" i="8"/>
  <c r="I12" i="8"/>
  <c r="I15" i="8"/>
  <c r="I16" i="8"/>
  <c r="I19" i="8"/>
  <c r="I20" i="8"/>
  <c r="I23" i="8"/>
  <c r="I24" i="8"/>
  <c r="I27" i="8"/>
  <c r="H24" i="8"/>
  <c r="H8" i="8"/>
  <c r="H11" i="8"/>
  <c r="H12" i="8"/>
  <c r="H15" i="8"/>
  <c r="H16" i="8"/>
  <c r="H19" i="8"/>
  <c r="H20" i="8"/>
  <c r="H23" i="8"/>
  <c r="H27" i="8"/>
  <c r="F29" i="8"/>
  <c r="F20" i="8"/>
  <c r="F16" i="8"/>
  <c r="F27" i="8" s="1"/>
  <c r="F12" i="8"/>
  <c r="F26" i="8"/>
  <c r="F11" i="8"/>
  <c r="D29" i="8" l="1"/>
  <c r="D26" i="8"/>
  <c r="D23" i="8"/>
  <c r="D20" i="8"/>
  <c r="D19" i="8"/>
  <c r="D16" i="8"/>
  <c r="D15" i="8"/>
  <c r="D12" i="8"/>
  <c r="D11" i="8"/>
  <c r="D13" i="8"/>
  <c r="D8" i="8"/>
  <c r="D7" i="8"/>
  <c r="G16" i="8"/>
  <c r="G26" i="8"/>
  <c r="G21" i="8"/>
  <c r="H26" i="8" l="1"/>
  <c r="I26" i="8"/>
  <c r="D27" i="8" l="1"/>
  <c r="D30" i="8"/>
  <c r="D25" i="8"/>
  <c r="D21" i="8"/>
  <c r="D17" i="8"/>
  <c r="C13" i="1"/>
  <c r="C11" i="1"/>
  <c r="C10" i="1"/>
  <c r="C7" i="1"/>
  <c r="D31" i="8" l="1"/>
  <c r="D28" i="8"/>
  <c r="K66" i="24" l="1"/>
  <c r="K63" i="24"/>
  <c r="K57" i="24"/>
  <c r="K48" i="24"/>
  <c r="K40" i="24"/>
  <c r="K28" i="24"/>
  <c r="K21" i="24"/>
  <c r="K16" i="24"/>
  <c r="K13" i="24"/>
  <c r="K11" i="24"/>
  <c r="K8" i="24"/>
  <c r="H261" i="26"/>
  <c r="H251" i="26"/>
  <c r="H248" i="26"/>
  <c r="H246" i="26"/>
  <c r="H244" i="26"/>
  <c r="H196" i="26"/>
  <c r="H185" i="26"/>
  <c r="H135" i="26"/>
  <c r="H127" i="26"/>
  <c r="H110" i="26"/>
  <c r="H89" i="26"/>
  <c r="H84" i="26"/>
  <c r="H77" i="26"/>
  <c r="H70" i="26"/>
  <c r="H61" i="26"/>
  <c r="H45" i="26"/>
  <c r="H35" i="26"/>
  <c r="H31" i="26"/>
  <c r="H25" i="26"/>
  <c r="H21" i="26"/>
  <c r="H18" i="26"/>
  <c r="H13" i="26"/>
  <c r="H69" i="26" l="1"/>
  <c r="I69" i="26" s="1"/>
  <c r="H109" i="26"/>
  <c r="I109" i="26" s="1"/>
  <c r="H250" i="26"/>
  <c r="I250" i="26" s="1"/>
  <c r="H262" i="26"/>
  <c r="I261" i="26"/>
  <c r="H182" i="26"/>
  <c r="I182" i="26" s="1"/>
  <c r="H191" i="26"/>
  <c r="H88" i="26"/>
  <c r="H12" i="26"/>
  <c r="I12" i="26" s="1"/>
  <c r="K56" i="24"/>
  <c r="K52" i="24"/>
  <c r="K47" i="24"/>
  <c r="K15" i="24"/>
  <c r="K7" i="24"/>
  <c r="H108" i="26"/>
  <c r="I108" i="26" s="1"/>
  <c r="H24" i="26"/>
  <c r="I24" i="26" s="1"/>
  <c r="H76" i="26"/>
  <c r="I76" i="26" s="1"/>
  <c r="H243" i="26"/>
  <c r="I243" i="26" s="1"/>
  <c r="H30" i="26"/>
  <c r="I30" i="26" s="1"/>
  <c r="H123" i="26"/>
  <c r="I123" i="26" s="1"/>
  <c r="H190" i="26" l="1"/>
  <c r="I191" i="26"/>
  <c r="H87" i="26"/>
  <c r="I87" i="26" s="1"/>
  <c r="I88" i="26"/>
  <c r="H181" i="26"/>
  <c r="K6" i="24"/>
  <c r="H29" i="26"/>
  <c r="I29" i="26" s="1"/>
  <c r="H75" i="26"/>
  <c r="I75" i="26" s="1"/>
  <c r="H107" i="26"/>
  <c r="I107" i="26" s="1"/>
  <c r="H122" i="26"/>
  <c r="I122" i="26" s="1"/>
  <c r="H242" i="26"/>
  <c r="I242" i="26" s="1"/>
  <c r="H11" i="26"/>
  <c r="I11" i="26" s="1"/>
  <c r="H180" i="26" l="1"/>
  <c r="I181" i="26"/>
  <c r="H86" i="26"/>
  <c r="I86" i="26" s="1"/>
  <c r="H189" i="26"/>
  <c r="I189" i="26" s="1"/>
  <c r="I190" i="26"/>
  <c r="H106" i="26"/>
  <c r="I106" i="26" s="1"/>
  <c r="K68" i="24"/>
  <c r="K5" i="24" s="1"/>
  <c r="H121" i="26"/>
  <c r="H10" i="26"/>
  <c r="I10" i="26" s="1"/>
  <c r="H74" i="26"/>
  <c r="I74" i="26" s="1"/>
  <c r="H28" i="26"/>
  <c r="I28" i="26" s="1"/>
  <c r="H241" i="26"/>
  <c r="I241" i="26" s="1"/>
  <c r="H179" i="26" l="1"/>
  <c r="I179" i="26" s="1"/>
  <c r="I180" i="26"/>
  <c r="H114" i="26"/>
  <c r="I114" i="26" s="1"/>
  <c r="I121" i="26"/>
  <c r="H9" i="26"/>
  <c r="F5" i="24"/>
  <c r="M5" i="24" s="1"/>
  <c r="P5" i="24"/>
  <c r="H240" i="26"/>
  <c r="I240" i="26" s="1"/>
  <c r="H8" i="26" l="1"/>
  <c r="I8" i="26" s="1"/>
  <c r="I9" i="26"/>
  <c r="H7" i="26"/>
  <c r="I7" i="26" l="1"/>
  <c r="H253" i="26"/>
  <c r="I253" i="26" s="1"/>
  <c r="F16" i="25" l="1"/>
  <c r="G16" i="25"/>
  <c r="I7" i="25"/>
  <c r="H7" i="25"/>
  <c r="P7" i="24"/>
  <c r="P15" i="24"/>
  <c r="P47" i="24"/>
  <c r="P52" i="24"/>
  <c r="P53" i="24"/>
  <c r="P56" i="24"/>
  <c r="P68" i="24"/>
  <c r="P6" i="24"/>
  <c r="M7" i="24"/>
  <c r="M8" i="24"/>
  <c r="M9" i="24"/>
  <c r="M10" i="24"/>
  <c r="M11" i="24"/>
  <c r="M12" i="24"/>
  <c r="M13" i="24"/>
  <c r="M14" i="24"/>
  <c r="M15" i="24"/>
  <c r="M16" i="24"/>
  <c r="M17" i="24"/>
  <c r="M18" i="24"/>
  <c r="M19" i="24"/>
  <c r="M20" i="24"/>
  <c r="M21" i="24"/>
  <c r="M22" i="24"/>
  <c r="M23" i="24"/>
  <c r="M24" i="24"/>
  <c r="M25" i="24"/>
  <c r="M26" i="24"/>
  <c r="M27" i="24"/>
  <c r="M28" i="24"/>
  <c r="M29" i="24"/>
  <c r="M30" i="24"/>
  <c r="M31" i="24"/>
  <c r="M32" i="24"/>
  <c r="M33" i="24"/>
  <c r="M34" i="24"/>
  <c r="M35" i="24"/>
  <c r="M36" i="24"/>
  <c r="M37" i="24"/>
  <c r="M38" i="24"/>
  <c r="M39" i="24"/>
  <c r="M40" i="24"/>
  <c r="M41" i="24"/>
  <c r="M42" i="24"/>
  <c r="M43" i="24"/>
  <c r="M44" i="24"/>
  <c r="M45" i="24"/>
  <c r="M46" i="24"/>
  <c r="M47" i="24"/>
  <c r="M48" i="24"/>
  <c r="M49" i="24"/>
  <c r="M50" i="24"/>
  <c r="M51" i="24"/>
  <c r="M52" i="24"/>
  <c r="M53" i="24"/>
  <c r="M54" i="24"/>
  <c r="M55" i="24"/>
  <c r="M56" i="24"/>
  <c r="M57" i="24"/>
  <c r="M58" i="24"/>
  <c r="M59" i="24"/>
  <c r="M60" i="24"/>
  <c r="M61" i="24"/>
  <c r="M62" i="24"/>
  <c r="M63" i="24"/>
  <c r="M64" i="24"/>
  <c r="M65" i="24"/>
  <c r="M66" i="24"/>
  <c r="M67" i="24"/>
  <c r="M68" i="24"/>
  <c r="M6" i="24"/>
  <c r="F13" i="23" l="1"/>
  <c r="F17" i="23" s="1"/>
  <c r="D13" i="23"/>
  <c r="D17" i="23" s="1"/>
  <c r="I11" i="23"/>
  <c r="H11" i="23"/>
  <c r="I10" i="23"/>
  <c r="I9" i="23"/>
  <c r="H9" i="23"/>
  <c r="I8" i="23"/>
  <c r="H8" i="23"/>
  <c r="I7" i="23"/>
  <c r="H7" i="23"/>
  <c r="H28" i="22"/>
  <c r="G27" i="22"/>
  <c r="D27" i="22"/>
  <c r="D26" i="22" s="1"/>
  <c r="G23" i="22"/>
  <c r="D23" i="22"/>
  <c r="H22" i="22"/>
  <c r="H21" i="22"/>
  <c r="G20" i="22"/>
  <c r="D20" i="22"/>
  <c r="H18" i="22"/>
  <c r="G17" i="22"/>
  <c r="D17" i="22"/>
  <c r="D16" i="22" s="1"/>
  <c r="H13" i="22"/>
  <c r="G12" i="22"/>
  <c r="H10" i="22"/>
  <c r="H9" i="22"/>
  <c r="G8" i="22"/>
  <c r="G7" i="22" s="1"/>
  <c r="D8" i="22"/>
  <c r="H20" i="22" l="1"/>
  <c r="G19" i="22"/>
  <c r="G16" i="22"/>
  <c r="I16" i="22" s="1"/>
  <c r="I7" i="22"/>
  <c r="H10" i="23"/>
  <c r="G13" i="23"/>
  <c r="G11" i="22"/>
  <c r="I11" i="22" s="1"/>
  <c r="H12" i="22"/>
  <c r="H8" i="22"/>
  <c r="H27" i="22"/>
  <c r="D19" i="22"/>
  <c r="D11" i="22"/>
  <c r="H7" i="22"/>
  <c r="H17" i="22"/>
  <c r="G26" i="22"/>
  <c r="I26" i="22" s="1"/>
  <c r="H19" i="22" l="1"/>
  <c r="I19" i="22"/>
  <c r="H16" i="22"/>
  <c r="H11" i="22"/>
  <c r="F6" i="22"/>
  <c r="D6" i="22"/>
  <c r="I13" i="23"/>
  <c r="G17" i="23"/>
  <c r="H13" i="23"/>
  <c r="H26" i="22"/>
  <c r="G6" i="22"/>
  <c r="G5" i="22" l="1"/>
  <c r="G31" i="22"/>
  <c r="F31" i="22"/>
  <c r="F5" i="22"/>
  <c r="D31" i="22"/>
  <c r="D33" i="22" s="1"/>
  <c r="D5" i="22"/>
  <c r="I6" i="22"/>
  <c r="F33" i="22"/>
  <c r="H17" i="23"/>
  <c r="I17" i="23"/>
  <c r="H6" i="22"/>
  <c r="I31" i="22"/>
  <c r="G33" i="22" l="1"/>
  <c r="I33" i="22" s="1"/>
  <c r="H31" i="22"/>
  <c r="H5" i="22"/>
  <c r="I5" i="22"/>
  <c r="H33" i="22" l="1"/>
  <c r="G27" i="8" l="1"/>
  <c r="G25" i="8" l="1"/>
  <c r="F21" i="8" l="1"/>
  <c r="F25" i="8" l="1"/>
  <c r="F17" i="8"/>
  <c r="G17" i="8" l="1"/>
  <c r="G13" i="8"/>
  <c r="F13" i="8"/>
  <c r="I7" i="8"/>
  <c r="H7" i="8"/>
  <c r="F28" i="8" l="1"/>
  <c r="G28" i="8"/>
  <c r="F30" i="8" l="1"/>
  <c r="F31" i="8" s="1"/>
  <c r="G30" i="8"/>
  <c r="H30" i="8" l="1"/>
  <c r="I30" i="8"/>
  <c r="G31" i="8"/>
  <c r="C22" i="1" l="1"/>
  <c r="C9" i="1"/>
  <c r="C24" i="1" s="1"/>
  <c r="C25" i="1" s="1"/>
  <c r="C6" i="1"/>
  <c r="C21" i="1" s="1"/>
  <c r="F22" i="1"/>
  <c r="E22" i="1"/>
  <c r="H11" i="1"/>
  <c r="G11" i="1"/>
  <c r="H10" i="1"/>
  <c r="G10" i="1"/>
  <c r="F9" i="1"/>
  <c r="F24" i="1" s="1"/>
  <c r="F25" i="1" s="1"/>
  <c r="E9" i="1"/>
  <c r="E24" i="1" s="1"/>
  <c r="E25" i="1" s="1"/>
  <c r="H7" i="1"/>
  <c r="G7" i="1"/>
  <c r="F6" i="1"/>
  <c r="F21" i="1" s="1"/>
  <c r="E6" i="1"/>
  <c r="E21" i="1" s="1"/>
  <c r="C12" i="1" l="1"/>
  <c r="C23" i="1"/>
  <c r="C27" i="1" s="1"/>
  <c r="G9" i="1"/>
  <c r="E23" i="1"/>
  <c r="E27" i="1" s="1"/>
  <c r="H22" i="1"/>
  <c r="F23" i="1"/>
  <c r="H21" i="1"/>
  <c r="G21" i="1"/>
  <c r="H25" i="1"/>
  <c r="H6" i="1"/>
  <c r="G22" i="1"/>
  <c r="G25" i="1"/>
  <c r="G24" i="1"/>
  <c r="G6" i="1"/>
  <c r="E12" i="1"/>
  <c r="H24" i="1"/>
  <c r="H9" i="1"/>
  <c r="F12" i="1"/>
  <c r="F27" i="1" l="1"/>
  <c r="G23" i="1"/>
  <c r="H23" i="1"/>
</calcChain>
</file>

<file path=xl/sharedStrings.xml><?xml version="1.0" encoding="utf-8"?>
<sst xmlns="http://schemas.openxmlformats.org/spreadsheetml/2006/main" count="960" uniqueCount="387">
  <si>
    <t>OPIS</t>
  </si>
  <si>
    <t>PRIHODI UKUPNO</t>
  </si>
  <si>
    <t>6        PRIHODI POSLOVANJA</t>
  </si>
  <si>
    <t>RASHODI UKUPNO</t>
  </si>
  <si>
    <t>3        RASHODI POSLOVANJA</t>
  </si>
  <si>
    <t>4        RASHODI ZA NABAVU NEFIN. IMOVINE</t>
  </si>
  <si>
    <t>RAZLIKA</t>
  </si>
  <si>
    <t>DONOS VIŠKA PRETHODNIH GODINA</t>
  </si>
  <si>
    <t>UKUPNI PRIHODI</t>
  </si>
  <si>
    <t>VIŠAK PRETHODNIH GODINA</t>
  </si>
  <si>
    <t>UKUPNO RASPOLOŽIVA SREDSTVA</t>
  </si>
  <si>
    <t>UKUPNO RASPOREĐENA SREDSTVA</t>
  </si>
  <si>
    <t>UKUPNO REZULTAT</t>
  </si>
  <si>
    <t>RAČUN</t>
  </si>
  <si>
    <t>NAZIV RAČUNA</t>
  </si>
  <si>
    <t>1.</t>
  </si>
  <si>
    <t>2.</t>
  </si>
  <si>
    <t>3.</t>
  </si>
  <si>
    <t>5.</t>
  </si>
  <si>
    <t>6.</t>
  </si>
  <si>
    <t>7.</t>
  </si>
  <si>
    <t>UKUPNO OSTVARENI PRIHODI</t>
  </si>
  <si>
    <t>PRIHODI POSLOVANJA</t>
  </si>
  <si>
    <t>POMOĆI IZ INOZEMSTVA I OD SUBJEKATA UNUTAR OPĆEG PRORAČUNA</t>
  </si>
  <si>
    <t>POMOĆI PROR.KORISNIKA IZ PRORAČUNA KOJI IM NIJE NADLEŽAN</t>
  </si>
  <si>
    <t>TEKUĆE POMOĆI PROR.KORISNICIMA IZ PRORAČUNA KOJI IM NIJE NADLEŽAN</t>
  </si>
  <si>
    <t>KAPITALNE POMOĆI PROR.KORISNICIMA IZ PRORAČUNA KOJI IM NIJE NADLEŽAN</t>
  </si>
  <si>
    <t>PRIHODI OD IMOVINE</t>
  </si>
  <si>
    <t>PRIHODI OD FINANCIJSKE IMOVINE</t>
  </si>
  <si>
    <t>KAMATE NA OROČENA SREDSTVA I DEPOZITE PO VIĐENJU</t>
  </si>
  <si>
    <t>PRIHODI OD UPR. I ADM.PRISTOJBI, PRISTOJBI PO POSEBNIM PROPISIMA I NAKNADA</t>
  </si>
  <si>
    <t>PRIHOD PO POSEBNIM PROPISIMA</t>
  </si>
  <si>
    <t>OSTALI NESPOMENUTI PRIHODI</t>
  </si>
  <si>
    <t>PRIHODI OD PRODAJE PROIZVODA I ROBE TE PRUŽENIH USLUGA I PRIHODI OD DONACIJA</t>
  </si>
  <si>
    <t xml:space="preserve">PRIHODI OD PRODAJE PROIZVODA I ROBE TE PRUŽENIH USLUGA </t>
  </si>
  <si>
    <t>PRIHODI OD PRODAJE PROIZVODA I ROBE</t>
  </si>
  <si>
    <t>PRIHODI OD PRUŽENIH USLUGA</t>
  </si>
  <si>
    <t>DONACIJE OD PRAVNIH I FIZIČKIH OSOBA IZVAN OPĆEG PRORAČUNA</t>
  </si>
  <si>
    <t>TEKUĆE DONACIJE</t>
  </si>
  <si>
    <t>PRIHODI IZ NADLEŽNOG PRORAČUNA I OD HZZO-A NA TEMELJU UGOVORNIH OBVEZA</t>
  </si>
  <si>
    <t>PRIHODI IZ NADLEŽNOG PRORAČUNA ZA FINANCIRANJE REDOVNE DJELATNOSTI PROR.KORISNIKA</t>
  </si>
  <si>
    <t>PRIHODI NADLEŽNOG PRORAČUNA ZA FINANCIRANJE RASHODA POSLOVANJA</t>
  </si>
  <si>
    <t>PRIHODI NADLEŽNOG PRORAČUNA ZA FINANCIRANJE RASHODA ZA NABAVU NEFINANCIJSKE IMOVINE</t>
  </si>
  <si>
    <t>UKUPNO PRIHODI-OSTVARENJE</t>
  </si>
  <si>
    <t>PRENESENI VIŠAK-DONOS</t>
  </si>
  <si>
    <t>OSTVARENJE PRIHODA +PRENESENI VIŠAK (9)</t>
  </si>
  <si>
    <t>3</t>
  </si>
  <si>
    <t>RASHODI POSLOVANJA</t>
  </si>
  <si>
    <t>31</t>
  </si>
  <si>
    <t>RASHODI ZA ZAPOSLENE</t>
  </si>
  <si>
    <t>311</t>
  </si>
  <si>
    <t>PLAĆE (BRUTO)</t>
  </si>
  <si>
    <t>312</t>
  </si>
  <si>
    <t>OSTALI RASHODI ZA ZAPOSLENE</t>
  </si>
  <si>
    <t>313</t>
  </si>
  <si>
    <t>DOPRINOSI NA PLAĆE</t>
  </si>
  <si>
    <t>32</t>
  </si>
  <si>
    <t>MATERIJALNI RASHODI</t>
  </si>
  <si>
    <t>321</t>
  </si>
  <si>
    <t>NAKNADE TROŠKOVA ZAPOSLENIMA</t>
  </si>
  <si>
    <t>322</t>
  </si>
  <si>
    <t>RASHODI ZA MATERIJAL I ENERG.</t>
  </si>
  <si>
    <t>323</t>
  </si>
  <si>
    <t>RASHODI ZA USLUGE</t>
  </si>
  <si>
    <t>324</t>
  </si>
  <si>
    <t>NAKNADE TROŠKOVA OSOBAMA IZVAN RADNOG ODNOSA</t>
  </si>
  <si>
    <t>329</t>
  </si>
  <si>
    <t>OST.NESPOM.RASHODI POSLOVANJA</t>
  </si>
  <si>
    <t>34</t>
  </si>
  <si>
    <t>FINANCIJSKI RASHODI</t>
  </si>
  <si>
    <t>343</t>
  </si>
  <si>
    <t>OSTALI FINANCIJSKI RASHODI</t>
  </si>
  <si>
    <t>4</t>
  </si>
  <si>
    <t>RASHODI ZA NABAVU NEFINANCIJSKE IMOVINE</t>
  </si>
  <si>
    <t>41</t>
  </si>
  <si>
    <t>RASHODI ZA NABAVU NEPROIZVED.DUGOTRAJNE IMOVINE</t>
  </si>
  <si>
    <t>412</t>
  </si>
  <si>
    <t>NEMATERIJALNA IMOVINA</t>
  </si>
  <si>
    <t>42</t>
  </si>
  <si>
    <t>RASHODI ZA NABAVU PROIZVEDENE DUGOTRAJNE IMOVINE</t>
  </si>
  <si>
    <t>422</t>
  </si>
  <si>
    <t>POSTROJENJA I OPREMA</t>
  </si>
  <si>
    <t>424</t>
  </si>
  <si>
    <t>KNJIGE,UMJ.DJELA I OST.IZLOŽB.VRIJEDN.</t>
  </si>
  <si>
    <t>426</t>
  </si>
  <si>
    <t>NEMATERIJALNA PROIZVEDENA IMOVINA</t>
  </si>
  <si>
    <t>SVEUKUPNO</t>
  </si>
  <si>
    <t>IZVORI FINANCIRANJA</t>
  </si>
  <si>
    <t>Pomoći</t>
  </si>
  <si>
    <t>UKUPNO</t>
  </si>
  <si>
    <t>PLAĆE ZA REDOVAN RAD</t>
  </si>
  <si>
    <t>3111</t>
  </si>
  <si>
    <t>3113</t>
  </si>
  <si>
    <t>PLAĆE ZA PREKOVREMENI RAD</t>
  </si>
  <si>
    <t>3121</t>
  </si>
  <si>
    <t>3132</t>
  </si>
  <si>
    <t>DOPRINOSI ZA OBVEZNO ZDRAVSTVENO OSIGURANJE</t>
  </si>
  <si>
    <t>3211</t>
  </si>
  <si>
    <t>SLUŽBENA PUTOVANJA</t>
  </si>
  <si>
    <t>3212</t>
  </si>
  <si>
    <t>NAKNADE ZA PRIJEVOZ, ZA RAD NA TERENU I ODVOJENI ŽIVOT</t>
  </si>
  <si>
    <t>3213</t>
  </si>
  <si>
    <t>STRUČNO USAVRŠAVANJE ZAPOSLENIKA</t>
  </si>
  <si>
    <t>3214</t>
  </si>
  <si>
    <t>OSTALE NAKNADE TROŠKOVA ZAPOSLENIMA</t>
  </si>
  <si>
    <t>3221</t>
  </si>
  <si>
    <t>UREDSKI MATERIJAL I OSTALI MATERIJALNI RASHODI</t>
  </si>
  <si>
    <t>3222</t>
  </si>
  <si>
    <t>MATERIJAL I SIROVINE</t>
  </si>
  <si>
    <t>3223</t>
  </si>
  <si>
    <t>ENERGIJA</t>
  </si>
  <si>
    <t>3224</t>
  </si>
  <si>
    <t>MAT.I DIJELOVI ZA TEKUĆE I INVEST.ODRŽAVANJE</t>
  </si>
  <si>
    <t>3225</t>
  </si>
  <si>
    <t>SITNI INVENTAR I AUTO GUME</t>
  </si>
  <si>
    <t>3227</t>
  </si>
  <si>
    <t>SLUŽBENA, RADNA I ZAŠTITNA ODJEĆA I OBUĆA</t>
  </si>
  <si>
    <t>3231</t>
  </si>
  <si>
    <t>USLUGE TELEFONA, POŠTE I PRIJEVOZA</t>
  </si>
  <si>
    <t>3232</t>
  </si>
  <si>
    <t>USLUGE TEKUĆEG I INVESTICIJSKOG ODRŽAVANJA</t>
  </si>
  <si>
    <t>3233</t>
  </si>
  <si>
    <t>USLUGE PROMIDŽBE I INFORMIRANJA</t>
  </si>
  <si>
    <t>3234</t>
  </si>
  <si>
    <t>KOMUNALNE USLUGE</t>
  </si>
  <si>
    <t>3235</t>
  </si>
  <si>
    <t>ZAKUPNINE I NAJAMNINE</t>
  </si>
  <si>
    <t>3236</t>
  </si>
  <si>
    <t>ZDRAVSTVENE I VETERINARSKE USLUGE</t>
  </si>
  <si>
    <t>3237</t>
  </si>
  <si>
    <t>INTELEKTUALNE I OSOBNE  USLUGE</t>
  </si>
  <si>
    <t>3238</t>
  </si>
  <si>
    <t>RAČUNALNE USLUGE</t>
  </si>
  <si>
    <t>3239</t>
  </si>
  <si>
    <t>OSTALE USLUGE</t>
  </si>
  <si>
    <t>3241</t>
  </si>
  <si>
    <t>3291</t>
  </si>
  <si>
    <t>NAKNADE ZA RAD PREDSTAVN.I IZVRŠNIH TIJELA,POVJERENSTVA I SL</t>
  </si>
  <si>
    <t>3292</t>
  </si>
  <si>
    <t>PREMIJE OSIGURANJA</t>
  </si>
  <si>
    <t>3293</t>
  </si>
  <si>
    <t>REPREZENTACIJA</t>
  </si>
  <si>
    <t>3294</t>
  </si>
  <si>
    <t>ČLANARINE I NORME</t>
  </si>
  <si>
    <t>3295</t>
  </si>
  <si>
    <t>PRISTOJBE I NAKNADE</t>
  </si>
  <si>
    <t>3299</t>
  </si>
  <si>
    <t>OSTALI NESPOMENUTI RASHODI POSLOVANJA</t>
  </si>
  <si>
    <t>3431</t>
  </si>
  <si>
    <t>BANKARSKE USLUGE I USLUGE PLATNOG PROMETA</t>
  </si>
  <si>
    <t>3432</t>
  </si>
  <si>
    <t>NEGATIVNE TEČAJNE RAZLIKE I RAZLIKE ZBOG PRIMJ.VALUTNE KLAUZ</t>
  </si>
  <si>
    <t>3433</t>
  </si>
  <si>
    <t>ZATEZNE KAMATE</t>
  </si>
  <si>
    <t>4124</t>
  </si>
  <si>
    <t>OSTALA PRAVA</t>
  </si>
  <si>
    <t>4221</t>
  </si>
  <si>
    <t>UREDSKA OPREMA I NAMJEŠTAJ</t>
  </si>
  <si>
    <t>4222</t>
  </si>
  <si>
    <t>KOMUNIKACIJSKA OPREMA</t>
  </si>
  <si>
    <t>4223</t>
  </si>
  <si>
    <t>OPREMA ZA ODRŽAVANJE I ZAŠTITU</t>
  </si>
  <si>
    <t>4225</t>
  </si>
  <si>
    <t>INSTRUMENTI, UREĐAJI I STROJEVI</t>
  </si>
  <si>
    <t>4227</t>
  </si>
  <si>
    <t>UREĐAJI, STROJEVI I OPREMA ZA OSTALE NAMJENE</t>
  </si>
  <si>
    <t>4241</t>
  </si>
  <si>
    <t>KNJIGE</t>
  </si>
  <si>
    <t>4243</t>
  </si>
  <si>
    <t>MUZEJSKI IZLOŠCI I PREDMETI PRIRODNIH RIJETKOSTI</t>
  </si>
  <si>
    <t>4262</t>
  </si>
  <si>
    <t>ULAGANJA U RAČUNALNE PROGRAME</t>
  </si>
  <si>
    <t>PRIHODI OD ZATEZNIH KAMATA</t>
  </si>
  <si>
    <t>PRIHODI OD POZITIVNIH TEČAJNIH RAZLIKA</t>
  </si>
  <si>
    <t>Naziv računa</t>
  </si>
  <si>
    <t>7=5/4*100</t>
  </si>
  <si>
    <t xml:space="preserve">Prihodi za posebne namjene </t>
  </si>
  <si>
    <t>UKUPNO PRIHODI</t>
  </si>
  <si>
    <t>PRIHOD +DONOS VIŠKA</t>
  </si>
  <si>
    <t>Ministarstva i državne ustanove za proračunske korisnike</t>
  </si>
  <si>
    <t>Račun rashoda/
izdatka</t>
  </si>
  <si>
    <t xml:space="preserve">Vlastiti prihodi </t>
  </si>
  <si>
    <t>Ukupno</t>
  </si>
  <si>
    <t>Oznaka IF</t>
  </si>
  <si>
    <t xml:space="preserve">Naziv izvora financiranja </t>
  </si>
  <si>
    <t xml:space="preserve">Opći prihodi i primici </t>
  </si>
  <si>
    <t xml:space="preserve">PRIHODI </t>
  </si>
  <si>
    <t>RASHODI</t>
  </si>
  <si>
    <t xml:space="preserve">RAZLIKA </t>
  </si>
  <si>
    <t xml:space="preserve">RAZLIKA  </t>
  </si>
  <si>
    <t>PRIHODI</t>
  </si>
  <si>
    <t xml:space="preserve">Ukupni prihodi </t>
  </si>
  <si>
    <t>Ukupni rashodi</t>
  </si>
  <si>
    <t>VIŠAK</t>
  </si>
  <si>
    <t>PRIHOD +VIŠAK</t>
  </si>
  <si>
    <t>REZULTAT</t>
  </si>
  <si>
    <t>REKAPITULACIJA</t>
  </si>
  <si>
    <t>UKUPNI RASHODI</t>
  </si>
  <si>
    <t>6=5/3*100</t>
  </si>
  <si>
    <t>A. RAČUN PRIHODA I RASHODA</t>
  </si>
  <si>
    <t>8       PRIMICI OD FINANCIJSKE IMOVINE I ZADUŽIVANJA</t>
  </si>
  <si>
    <t xml:space="preserve">5       IZDACI ZA FINANCIJSKU IMOVINU I  OTPLATE ZAJMOVA          </t>
  </si>
  <si>
    <t>B. RAČUN FINANCIRANJA</t>
  </si>
  <si>
    <t>4.</t>
  </si>
  <si>
    <t>Donacije</t>
  </si>
  <si>
    <t>KAPITALNE DONACIJE OD FIZIČKIH OSOBA I NEPROFITNIH ORGANIZACIJA</t>
  </si>
  <si>
    <t>IZVRŠENJE 6.2022.</t>
  </si>
  <si>
    <t>INDEKS 5/4</t>
  </si>
  <si>
    <t xml:space="preserve">7        PRIHODI OD PRODAJE NEFIN. IM.     </t>
  </si>
  <si>
    <t>OSTVARENJE 6.2022.</t>
  </si>
  <si>
    <t>POZICIJA</t>
  </si>
  <si>
    <t>IF</t>
  </si>
  <si>
    <t>00602</t>
  </si>
  <si>
    <t>USTANOVE U KULTURI</t>
  </si>
  <si>
    <t xml:space="preserve">36401 </t>
  </si>
  <si>
    <t>Povijesni i pomorski muzej Istre - Museo storico e navale dell'Istria</t>
  </si>
  <si>
    <t>2801</t>
  </si>
  <si>
    <t>Redovna djelatnost ustanova u kulturi</t>
  </si>
  <si>
    <t>A280101</t>
  </si>
  <si>
    <t>Rashodi za zaposlene</t>
  </si>
  <si>
    <t>47600</t>
  </si>
  <si>
    <t>11001</t>
  </si>
  <si>
    <t>DOPRINOSI ZA ZDRAVSTVENO OSIGURANJE</t>
  </si>
  <si>
    <t>NAKNADE ZA PRIJEVOZ, ZA RAD NA TERENU</t>
  </si>
  <si>
    <t>A280102</t>
  </si>
  <si>
    <t>Materijalni rashodi</t>
  </si>
  <si>
    <t>32600</t>
  </si>
  <si>
    <t>NAKNADE ČLANOVIMA UPRAVNOG VIJEĆA</t>
  </si>
  <si>
    <t>K280103</t>
  </si>
  <si>
    <t>Ulaganja u opremu</t>
  </si>
  <si>
    <t>K280105</t>
  </si>
  <si>
    <t>Sanacija Kaštela -PPMI</t>
  </si>
  <si>
    <t>53055</t>
  </si>
  <si>
    <t>55359</t>
  </si>
  <si>
    <t>2802</t>
  </si>
  <si>
    <t>Otkup muzejske građe</t>
  </si>
  <si>
    <t>K280202</t>
  </si>
  <si>
    <t>Otkup muzejske građe PPMI</t>
  </si>
  <si>
    <t>62600</t>
  </si>
  <si>
    <t>2804</t>
  </si>
  <si>
    <t>Program javnih potreba ustanova u kulturi</t>
  </si>
  <si>
    <t>A280414</t>
  </si>
  <si>
    <t>Umjetničko blago istarske crkve</t>
  </si>
  <si>
    <t>A280426</t>
  </si>
  <si>
    <t>Gostujuće izložbe</t>
  </si>
  <si>
    <t>A280430</t>
  </si>
  <si>
    <t>Noć muzeja</t>
  </si>
  <si>
    <t>A280447</t>
  </si>
  <si>
    <t>Restauracija muzejske građe</t>
  </si>
  <si>
    <t>A280449</t>
  </si>
  <si>
    <t>Projekt graditeljskog nasljeđa</t>
  </si>
  <si>
    <t>A280493</t>
  </si>
  <si>
    <t>Kuća fresaka u Draguću</t>
  </si>
  <si>
    <t>A280499</t>
  </si>
  <si>
    <t>Istrapedia</t>
  </si>
  <si>
    <t>2806</t>
  </si>
  <si>
    <t>A280601</t>
  </si>
  <si>
    <t>Godišnji izložbeni program</t>
  </si>
  <si>
    <t>A280604</t>
  </si>
  <si>
    <t>Izdavanje publikacija</t>
  </si>
  <si>
    <t>220507</t>
  </si>
  <si>
    <t>220508</t>
  </si>
  <si>
    <t>220509</t>
  </si>
  <si>
    <t>220510</t>
  </si>
  <si>
    <t>220511</t>
  </si>
  <si>
    <t>220511.01</t>
  </si>
  <si>
    <t>220512</t>
  </si>
  <si>
    <t>A280609</t>
  </si>
  <si>
    <t>Kuća istarskih kaštela</t>
  </si>
  <si>
    <t>2809</t>
  </si>
  <si>
    <t>Sufinanciranje djelatnosti iz ostalih proračuna</t>
  </si>
  <si>
    <t>A280901</t>
  </si>
  <si>
    <t>Rashodi za zaposlene-grad Pula</t>
  </si>
  <si>
    <t>11</t>
  </si>
  <si>
    <t>Nenamjenski prihodi i primici</t>
  </si>
  <si>
    <t>Vlastiti prihodi proračunskih korisnika</t>
  </si>
  <si>
    <t>47</t>
  </si>
  <si>
    <t>Prihodi za posebne namjene za proračunske korisnike</t>
  </si>
  <si>
    <t>53</t>
  </si>
  <si>
    <t>55</t>
  </si>
  <si>
    <t>Gradovi i općine za proračunske korisnike</t>
  </si>
  <si>
    <t>62</t>
  </si>
  <si>
    <t>Donacije za proračunske korisnike</t>
  </si>
  <si>
    <t>36401 Povijesni i pomorski muzej Istre - Museo storico e navale dell'Istria</t>
  </si>
  <si>
    <t>Popis sudskih sporova</t>
  </si>
  <si>
    <t>Red.
br.</t>
  </si>
  <si>
    <t>Tuženik</t>
  </si>
  <si>
    <t>Tužitelj</t>
  </si>
  <si>
    <t>Sažeti opis prirode spora</t>
  </si>
  <si>
    <t>Iznos glavnice</t>
  </si>
  <si>
    <t>Procjena financijskog učinka</t>
  </si>
  <si>
    <t>Procijenjeno vrijeme odljeva ili priljeva sredstava</t>
  </si>
  <si>
    <t>Početak sudskog spora</t>
  </si>
  <si>
    <t>Napomena</t>
  </si>
  <si>
    <t>7=4+5-6</t>
  </si>
  <si>
    <t>Datum izdavanja/primanja jamstva</t>
  </si>
  <si>
    <t>Instrument osiguranja</t>
  </si>
  <si>
    <t>Iznos danog/primljenog jamstva</t>
  </si>
  <si>
    <t xml:space="preserve">  Primatelj/davatelj jamstva</t>
  </si>
  <si>
    <t>Namjena</t>
  </si>
  <si>
    <t>Dokument</t>
  </si>
  <si>
    <t>Rok važenja</t>
  </si>
  <si>
    <t>IZVRŠENJE 6.2023.</t>
  </si>
  <si>
    <t>OPĆI DIO  -  SAŽETAK RAČUNA PRIHODA I RASHODA 
2023.-06.
ISTARSKA ŽUPANIJA - REGIONE ISTRIANA
006 UPRAVNI ODJEL ZA KULTURU I ZAVIČAJNOST
36401 Povijesni i pomorski muzej Istre - Museo storico e navale dell'Istria</t>
  </si>
  <si>
    <t>TABELA A -  UKUPNI PRIHODI I RASHODI  PREMA IZVORIMA FINANCIRANJA 
2023.06.
ISTARSKA ŽUPANIJA - REGIONE ISTRIANA
006 UPRAVNI ODJEL ZA KULTURU I ZAVIČAJNOST
36401 Povijesni i pomorski muzej Istre - Museo storico e navale dell'Istria</t>
  </si>
  <si>
    <t xml:space="preserve">Ostvarenje/
izvršenje 6. 2022. </t>
  </si>
  <si>
    <t xml:space="preserve">Ostvarenje/
izvršenje 6.2023. </t>
  </si>
  <si>
    <t>TABELA A - RAČUN PRIHODA I RASHODA
PRIHODI PO EKONOMSKOJ KLASIFIKACIJI
2023.06.
ISTARSKA ŽUPANIJA - REGIONE ISTRIANA
006 UPRAVNI ODJEL ZA KULTURU I ZAVIČAJNOST
36401 Povijesni i pomorski muzej Istre - Museo storico e navale dell'Istria</t>
  </si>
  <si>
    <t>OSTVARENJE 6.2023.</t>
  </si>
  <si>
    <t>TABELA A -  RAČUN PRIHODA PREMA IZVORIMA FINANCIRANJA 
2023.06.
ISTARSKA ŽUPANIJA - REGIONE ISTRIANA
006 UPRAVNI ODJEL ZA KULTURU I ZAVIČAJNOST
36401 Povijesni i pomorski muzej Istre - Museo storico e navale dell'Istria</t>
  </si>
  <si>
    <t>Indeks 2023/2022</t>
  </si>
  <si>
    <t>TABELA A -  RAČUN RASHODA PREMA IZVORIMA FINANCIRANJA 
2023.06.
ISTARSKA ŽUPANIJA - REGIONE ISTRIANA
006 UPRAVNI ODJEL ZA KULTURU I ZAVIČAJNOST
36401 Povijesni i pomorski muzej Istre - Museo storico e navale dell'Istria</t>
  </si>
  <si>
    <t>K280110</t>
  </si>
  <si>
    <t>Uređenje arhivskog prostora - CIS</t>
  </si>
  <si>
    <t>A280603</t>
  </si>
  <si>
    <t>Manifestacije</t>
  </si>
  <si>
    <t>POSEBAN DIO - IZVRŠENJE RASHODA I IZDATAKA ISKAZANI PO IZVORIMA FINANCIRANJA I EKONOMSKOJ KLASIFIKACIJI RASPOREĐENI PO PROGRAMIMA - AKTIVNOSTIMA I PROJEKTIMA 2023.06.
ISTARSKA ŽUPANIJA-REGIONE ISTRIANA
RAZDJEL 006 UPRAVNI ODJEL ZA KULTURU I ZAVIČAJNOST
PRORAČUNSKI KORISNIK 36401 Povijesni i pomorski muzej Istre - Museo storico e navale de</t>
  </si>
  <si>
    <t>IZVRŠENJE  6.2023</t>
  </si>
  <si>
    <t>IZVRŠENJE 6.2023</t>
  </si>
  <si>
    <t>Indeks -izvršenje 2023/2022</t>
  </si>
  <si>
    <t>REKAPITULACIJA 
2023.06.
ISTARSKA ŽUPANIJA - REGIONE ISTRIANA
006 UPRAVNI ODJEL ZA KULTURU I ZAVIČAJNOST
36401 Povijesni i pomorski muzej Istre - Museo storico e navale dell'Istria</t>
  </si>
  <si>
    <t>VIŠAK PREDHODNOG RAZDOBLJA</t>
  </si>
  <si>
    <t>6+9</t>
  </si>
  <si>
    <t>IZVRŠENJE   6.2022.</t>
  </si>
  <si>
    <t xml:space="preserve"> TEKUĆI PLAN 2023.</t>
  </si>
  <si>
    <t>IZVORNI PLAN 2023.</t>
  </si>
  <si>
    <t>Tekući Plan 2023.</t>
  </si>
  <si>
    <t>Izvorni plan 2023.</t>
  </si>
  <si>
    <t>TEKUĆI  PLAN 2023.</t>
  </si>
  <si>
    <t xml:space="preserve">INDEKS 5/2 </t>
  </si>
  <si>
    <t>Indeks 6/3</t>
  </si>
  <si>
    <t>Indeks 6/5</t>
  </si>
  <si>
    <t>8.</t>
  </si>
  <si>
    <t>INDEKS 6/3 OSTVARENJE 2023/2022.</t>
  </si>
  <si>
    <t>INDEKS 6/5 OSTVARENJE 6.2023./ TEKUĆI PLAN 2023.</t>
  </si>
  <si>
    <t xml:space="preserve">Indeks 2023    izvršenje/tekućiplan         </t>
  </si>
  <si>
    <t>Brojčana oznaka IF/Naziv IF/Razred/Skupina</t>
  </si>
  <si>
    <t>11001/Opći prihodi i primici/6/67</t>
  </si>
  <si>
    <t>32600/Vlastiti prihodi/6/64,66</t>
  </si>
  <si>
    <t>47600/Prihodi za posebne namjene /6/65</t>
  </si>
  <si>
    <t>55359/Gradovi i iopćine za proračunske korisnike/6/63</t>
  </si>
  <si>
    <t>62600/Donacije /6/66</t>
  </si>
  <si>
    <t>93/Preneseni višak-donos 32600</t>
  </si>
  <si>
    <t>94/Preneseni višak-donos 47600</t>
  </si>
  <si>
    <t>95/Preneseni višak-donos 553,586</t>
  </si>
  <si>
    <t>6=5/2*100</t>
  </si>
  <si>
    <t>INDEKS 6/3</t>
  </si>
  <si>
    <t>INDEKS 6/5</t>
  </si>
  <si>
    <t>Brojčana oznaka IF/naziv IF/Razred/Skupina</t>
  </si>
  <si>
    <t>32600/Vlastiti prihodi /6/64,66</t>
  </si>
  <si>
    <t>93/Vlastiti prihodi-preneseni višak 32600</t>
  </si>
  <si>
    <t>47600/Prihodi za posebne namjene/6/65</t>
  </si>
  <si>
    <t>94/Prihodi za posebne namjene-preneseni višak 47600</t>
  </si>
  <si>
    <t>53055/Ministarstva i državne ustanove za proračunske korisnike/6/63</t>
  </si>
  <si>
    <t>62600/Donacije fizičkih osoba/6/66</t>
  </si>
  <si>
    <t>95/Pomoći-višak 55,53,58</t>
  </si>
  <si>
    <t>55055/Ministarstva i državne ustanove za proračunske korisnike/6/63</t>
  </si>
  <si>
    <t>Indeks-izvršenje/tekući plan 2023</t>
  </si>
  <si>
    <t>7=6/3*100</t>
  </si>
  <si>
    <t>8=6/5*100</t>
  </si>
  <si>
    <t xml:space="preserve">       TABELA A - RAČUN PRIHODA I RASHODA                                                                                                                                                                                            RASHODI PO EKONOMSKOJ KLASIFIKACIJI  2023.06.                                                                                                                                                                                                                   ISTARSKA ŽUPANIJA-REGIONE ISTRIANA 006 UPRAVNI ODJEL ZA KULTURU I ZAVIČAJNOST                                                                               36401-POVIJESNI I POMORSKI MUZEJ ISTRE-MUSEO STORICO E NAVALE DELL'ISTRIA                                                                                                                                                                                                                                                          </t>
  </si>
  <si>
    <t>TEKUĆI PLAN 2023.</t>
  </si>
  <si>
    <t>IZVRŠENJE/TEKUĆI PLAN</t>
  </si>
  <si>
    <t>INDEKS 7/6</t>
  </si>
  <si>
    <t>POVIJESNI I POMORSKI MUZEJ ISTRE-MUSEO STORICO E NAVALE DELL'ISTRIA</t>
  </si>
  <si>
    <t>GRADINSKI USPON 6</t>
  </si>
  <si>
    <t>Naziv proračuna, proračunskog i izvanproračunskog korisnika</t>
  </si>
  <si>
    <t>OIB</t>
  </si>
  <si>
    <t>RKP BROJ</t>
  </si>
  <si>
    <t>Adresa</t>
  </si>
  <si>
    <t>Tablica 1: Popis ugovornih obveza</t>
  </si>
  <si>
    <t>08.12.2021.</t>
  </si>
  <si>
    <t>bjanko zadužnica</t>
  </si>
  <si>
    <t>Kapitel d.o.o. Žminj</t>
  </si>
  <si>
    <t>jamstvo za otklanjanje nedostataka u jamstvenom roku</t>
  </si>
  <si>
    <t>Ugovor Ur.br..PPMI-016/21-16-06</t>
  </si>
  <si>
    <t>24.12.2023.</t>
  </si>
  <si>
    <t>primljeno jamstvo</t>
  </si>
  <si>
    <t>03.05.2022.</t>
  </si>
  <si>
    <t>bankovna garancija</t>
  </si>
  <si>
    <t>Lav projekt d.o.o. Pula</t>
  </si>
  <si>
    <t>Ugovor Ur.br..PPMI-016/21-13-29</t>
  </si>
  <si>
    <t>18.03.2024.</t>
  </si>
  <si>
    <t>20.12.2022.</t>
  </si>
  <si>
    <t>Ugovor Ur.br..PPMI-016/22-09-07</t>
  </si>
  <si>
    <t>21.12.2024.</t>
  </si>
  <si>
    <t>UKUPNO (1+2+3)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</si>
</sst>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A]#,##0.00;\-\ #,##0.00"/>
  </numFmts>
  <fonts count="4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i/>
      <sz val="8"/>
      <name val="Arial"/>
      <family val="2"/>
      <charset val="238"/>
    </font>
    <font>
      <i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0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lightGray"/>
    </fill>
    <fill>
      <patternFill patternType="solid">
        <fgColor theme="0" tint="-0.14999847407452621"/>
        <bgColor indexed="64"/>
      </patternFill>
    </fill>
    <fill>
      <patternFill patternType="lightGray">
        <fgColor indexed="22"/>
        <bgColor theme="0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287">
    <xf numFmtId="0" fontId="0" fillId="0" borderId="0" xfId="0"/>
    <xf numFmtId="0" fontId="0" fillId="2" borderId="0" xfId="0" applyFill="1"/>
    <xf numFmtId="0" fontId="0" fillId="2" borderId="0" xfId="0" applyFill="1" applyBorder="1"/>
    <xf numFmtId="4" fontId="0" fillId="2" borderId="1" xfId="0" applyNumberFormat="1" applyFill="1" applyBorder="1"/>
    <xf numFmtId="0" fontId="0" fillId="2" borderId="1" xfId="0" applyFill="1" applyBorder="1"/>
    <xf numFmtId="0" fontId="0" fillId="2" borderId="8" xfId="0" applyFill="1" applyBorder="1"/>
    <xf numFmtId="0" fontId="0" fillId="2" borderId="10" xfId="0" applyFill="1" applyBorder="1"/>
    <xf numFmtId="0" fontId="0" fillId="0" borderId="8" xfId="0" applyBorder="1"/>
    <xf numFmtId="0" fontId="0" fillId="0" borderId="7" xfId="0" applyBorder="1"/>
    <xf numFmtId="0" fontId="0" fillId="2" borderId="1" xfId="0" applyFill="1" applyBorder="1" applyAlignment="1">
      <alignment wrapText="1"/>
    </xf>
    <xf numFmtId="4" fontId="0" fillId="2" borderId="4" xfId="0" applyNumberFormat="1" applyFill="1" applyBorder="1"/>
    <xf numFmtId="0" fontId="0" fillId="2" borderId="7" xfId="0" applyFill="1" applyBorder="1"/>
    <xf numFmtId="0" fontId="1" fillId="2" borderId="1" xfId="0" applyFont="1" applyFill="1" applyBorder="1" applyAlignment="1">
      <alignment wrapText="1"/>
    </xf>
    <xf numFmtId="1" fontId="0" fillId="2" borderId="1" xfId="0" applyNumberFormat="1" applyFill="1" applyBorder="1"/>
    <xf numFmtId="0" fontId="0" fillId="2" borderId="14" xfId="0" applyFill="1" applyBorder="1"/>
    <xf numFmtId="0" fontId="2" fillId="4" borderId="1" xfId="0" applyFont="1" applyFill="1" applyBorder="1" applyAlignment="1" applyProtection="1">
      <alignment horizontal="left" vertical="top" wrapText="1" readingOrder="1"/>
      <protection locked="0"/>
    </xf>
    <xf numFmtId="0" fontId="2" fillId="4" borderId="10" xfId="0" applyFont="1" applyFill="1" applyBorder="1" applyAlignment="1" applyProtection="1">
      <alignment horizontal="left" vertical="top" wrapText="1" readingOrder="1"/>
      <protection locked="0"/>
    </xf>
    <xf numFmtId="0" fontId="0" fillId="2" borderId="8" xfId="0" applyFill="1" applyBorder="1" applyAlignment="1">
      <alignment wrapText="1"/>
    </xf>
    <xf numFmtId="0" fontId="0" fillId="2" borderId="11" xfId="0" applyFill="1" applyBorder="1"/>
    <xf numFmtId="0" fontId="0" fillId="0" borderId="10" xfId="0" applyFont="1" applyBorder="1"/>
    <xf numFmtId="0" fontId="15" fillId="4" borderId="18" xfId="0" applyFont="1" applyFill="1" applyBorder="1" applyAlignment="1" applyProtection="1">
      <alignment horizontal="center" vertical="center" wrapText="1" readingOrder="1"/>
      <protection locked="0"/>
    </xf>
    <xf numFmtId="0" fontId="15" fillId="4" borderId="2" xfId="0" applyFont="1" applyFill="1" applyBorder="1" applyAlignment="1" applyProtection="1">
      <alignment horizontal="center" vertical="center" wrapText="1" readingOrder="1"/>
      <protection locked="0"/>
    </xf>
    <xf numFmtId="0" fontId="6" fillId="2" borderId="2" xfId="0" applyFont="1" applyFill="1" applyBorder="1" applyAlignment="1">
      <alignment horizontal="center" vertical="center" readingOrder="1"/>
    </xf>
    <xf numFmtId="0" fontId="15" fillId="4" borderId="10" xfId="0" applyFont="1" applyFill="1" applyBorder="1" applyAlignment="1" applyProtection="1">
      <alignment horizontal="center" vertical="center" wrapText="1" readingOrder="1"/>
      <protection locked="0"/>
    </xf>
    <xf numFmtId="0" fontId="9" fillId="2" borderId="1" xfId="0" applyFont="1" applyFill="1" applyBorder="1"/>
    <xf numFmtId="0" fontId="6" fillId="2" borderId="1" xfId="0" applyFont="1" applyFill="1" applyBorder="1"/>
    <xf numFmtId="0" fontId="6" fillId="0" borderId="10" xfId="0" applyFont="1" applyBorder="1"/>
    <xf numFmtId="0" fontId="6" fillId="0" borderId="1" xfId="0" applyFont="1" applyBorder="1"/>
    <xf numFmtId="0" fontId="9" fillId="3" borderId="1" xfId="0" applyFont="1" applyFill="1" applyBorder="1" applyAlignment="1">
      <alignment horizontal="left"/>
    </xf>
    <xf numFmtId="0" fontId="9" fillId="3" borderId="1" xfId="0" applyFont="1" applyFill="1" applyBorder="1"/>
    <xf numFmtId="0" fontId="0" fillId="3" borderId="4" xfId="0" applyFont="1" applyFill="1" applyBorder="1"/>
    <xf numFmtId="4" fontId="14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16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 readingOrder="1"/>
      <protection locked="0"/>
    </xf>
    <xf numFmtId="0" fontId="14" fillId="2" borderId="10" xfId="0" applyFont="1" applyFill="1" applyBorder="1" applyAlignment="1" applyProtection="1">
      <alignment horizontal="center" vertical="center" wrapText="1" readingOrder="1"/>
      <protection locked="0"/>
    </xf>
    <xf numFmtId="0" fontId="16" fillId="4" borderId="10" xfId="0" applyFont="1" applyFill="1" applyBorder="1" applyAlignment="1" applyProtection="1">
      <alignment horizontal="left" vertical="center" wrapText="1" readingOrder="1"/>
      <protection locked="0"/>
    </xf>
    <xf numFmtId="0" fontId="14" fillId="4" borderId="10" xfId="0" applyFont="1" applyFill="1" applyBorder="1" applyAlignment="1" applyProtection="1">
      <alignment horizontal="left" vertical="center" wrapText="1" readingOrder="1"/>
      <protection locked="0"/>
    </xf>
    <xf numFmtId="4" fontId="16" fillId="2" borderId="4" xfId="0" applyNumberFormat="1" applyFont="1" applyFill="1" applyBorder="1" applyAlignment="1" applyProtection="1">
      <alignment horizontal="right" vertical="center" wrapText="1"/>
      <protection locked="0"/>
    </xf>
    <xf numFmtId="0" fontId="16" fillId="2" borderId="18" xfId="0" applyFont="1" applyFill="1" applyBorder="1"/>
    <xf numFmtId="0" fontId="16" fillId="2" borderId="2" xfId="0" applyFont="1" applyFill="1" applyBorder="1"/>
    <xf numFmtId="0" fontId="16" fillId="2" borderId="2" xfId="0" applyFont="1" applyFill="1" applyBorder="1" applyAlignment="1">
      <alignment wrapText="1"/>
    </xf>
    <xf numFmtId="3" fontId="16" fillId="0" borderId="1" xfId="0" applyNumberFormat="1" applyFont="1" applyBorder="1"/>
    <xf numFmtId="3" fontId="11" fillId="0" borderId="1" xfId="0" applyNumberFormat="1" applyFont="1" applyBorder="1"/>
    <xf numFmtId="4" fontId="17" fillId="0" borderId="1" xfId="0" applyNumberFormat="1" applyFont="1" applyBorder="1"/>
    <xf numFmtId="3" fontId="14" fillId="0" borderId="1" xfId="0" applyNumberFormat="1" applyFont="1" applyBorder="1"/>
    <xf numFmtId="3" fontId="16" fillId="0" borderId="4" xfId="0" applyNumberFormat="1" applyFont="1" applyBorder="1"/>
    <xf numFmtId="0" fontId="17" fillId="2" borderId="10" xfId="0" applyFont="1" applyFill="1" applyBorder="1"/>
    <xf numFmtId="0" fontId="17" fillId="2" borderId="1" xfId="0" applyFont="1" applyFill="1" applyBorder="1"/>
    <xf numFmtId="0" fontId="14" fillId="2" borderId="1" xfId="0" applyFont="1" applyFill="1" applyBorder="1" applyAlignment="1">
      <alignment wrapText="1"/>
    </xf>
    <xf numFmtId="0" fontId="17" fillId="2" borderId="11" xfId="0" applyFont="1" applyFill="1" applyBorder="1"/>
    <xf numFmtId="4" fontId="17" fillId="2" borderId="1" xfId="0" applyNumberFormat="1" applyFont="1" applyFill="1" applyBorder="1"/>
    <xf numFmtId="1" fontId="17" fillId="2" borderId="1" xfId="0" applyNumberFormat="1" applyFont="1" applyFill="1" applyBorder="1"/>
    <xf numFmtId="1" fontId="17" fillId="2" borderId="11" xfId="0" applyNumberFormat="1" applyFont="1" applyFill="1" applyBorder="1"/>
    <xf numFmtId="4" fontId="14" fillId="2" borderId="1" xfId="0" applyNumberFormat="1" applyFont="1" applyFill="1" applyBorder="1"/>
    <xf numFmtId="0" fontId="17" fillId="2" borderId="23" xfId="0" applyFont="1" applyFill="1" applyBorder="1"/>
    <xf numFmtId="0" fontId="17" fillId="2" borderId="5" xfId="0" applyFont="1" applyFill="1" applyBorder="1"/>
    <xf numFmtId="4" fontId="17" fillId="2" borderId="5" xfId="0" applyNumberFormat="1" applyFont="1" applyFill="1" applyBorder="1"/>
    <xf numFmtId="0" fontId="17" fillId="2" borderId="18" xfId="0" applyFont="1" applyFill="1" applyBorder="1"/>
    <xf numFmtId="0" fontId="17" fillId="2" borderId="2" xfId="0" applyFont="1" applyFill="1" applyBorder="1"/>
    <xf numFmtId="4" fontId="17" fillId="2" borderId="2" xfId="0" applyNumberFormat="1" applyFont="1" applyFill="1" applyBorder="1"/>
    <xf numFmtId="0" fontId="14" fillId="2" borderId="10" xfId="0" applyFont="1" applyFill="1" applyBorder="1"/>
    <xf numFmtId="0" fontId="14" fillId="2" borderId="12" xfId="0" applyFont="1" applyFill="1" applyBorder="1"/>
    <xf numFmtId="0" fontId="17" fillId="2" borderId="4" xfId="0" applyFont="1" applyFill="1" applyBorder="1"/>
    <xf numFmtId="4" fontId="17" fillId="2" borderId="4" xfId="0" applyNumberFormat="1" applyFont="1" applyFill="1" applyBorder="1"/>
    <xf numFmtId="0" fontId="11" fillId="2" borderId="0" xfId="0" applyFont="1" applyFill="1" applyBorder="1"/>
    <xf numFmtId="0" fontId="11" fillId="2" borderId="8" xfId="0" applyFont="1" applyFill="1" applyBorder="1"/>
    <xf numFmtId="0" fontId="11" fillId="2" borderId="10" xfId="0" applyFont="1" applyFill="1" applyBorder="1"/>
    <xf numFmtId="0" fontId="11" fillId="2" borderId="1" xfId="0" applyFont="1" applyFill="1" applyBorder="1"/>
    <xf numFmtId="0" fontId="11" fillId="0" borderId="0" xfId="0" applyFont="1" applyBorder="1"/>
    <xf numFmtId="0" fontId="11" fillId="0" borderId="8" xfId="0" applyFont="1" applyBorder="1"/>
    <xf numFmtId="0" fontId="16" fillId="0" borderId="10" xfId="0" applyFont="1" applyBorder="1" applyAlignment="1">
      <alignment horizontal="left"/>
    </xf>
    <xf numFmtId="0" fontId="14" fillId="0" borderId="10" xfId="0" applyFont="1" applyBorder="1"/>
    <xf numFmtId="0" fontId="14" fillId="0" borderId="10" xfId="0" applyFont="1" applyBorder="1" applyAlignment="1">
      <alignment wrapText="1"/>
    </xf>
    <xf numFmtId="0" fontId="11" fillId="0" borderId="9" xfId="0" applyFont="1" applyBorder="1"/>
    <xf numFmtId="0" fontId="11" fillId="0" borderId="7" xfId="0" applyFont="1" applyBorder="1"/>
    <xf numFmtId="0" fontId="6" fillId="0" borderId="10" xfId="0" applyFont="1" applyBorder="1" applyAlignment="1">
      <alignment wrapText="1"/>
    </xf>
    <xf numFmtId="0" fontId="9" fillId="0" borderId="10" xfId="0" applyFont="1" applyBorder="1"/>
    <xf numFmtId="0" fontId="9" fillId="0" borderId="12" xfId="0" applyFont="1" applyBorder="1"/>
    <xf numFmtId="0" fontId="17" fillId="2" borderId="10" xfId="0" applyFont="1" applyFill="1" applyBorder="1" applyAlignment="1">
      <alignment wrapText="1"/>
    </xf>
    <xf numFmtId="0" fontId="17" fillId="2" borderId="10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0" fillId="0" borderId="10" xfId="0" applyBorder="1"/>
    <xf numFmtId="0" fontId="0" fillId="0" borderId="1" xfId="0" applyBorder="1"/>
    <xf numFmtId="0" fontId="0" fillId="0" borderId="11" xfId="0" applyBorder="1"/>
    <xf numFmtId="0" fontId="2" fillId="5" borderId="10" xfId="0" applyFont="1" applyFill="1" applyBorder="1" applyAlignment="1" applyProtection="1">
      <alignment horizontal="center" vertical="center" wrapText="1" readingOrder="1"/>
      <protection locked="0"/>
    </xf>
    <xf numFmtId="0" fontId="2" fillId="5" borderId="1" xfId="0" applyFont="1" applyFill="1" applyBorder="1" applyAlignment="1" applyProtection="1">
      <alignment horizontal="center" vertical="center" wrapText="1" readingOrder="1"/>
      <protection locked="0"/>
    </xf>
    <xf numFmtId="0" fontId="2" fillId="5" borderId="11" xfId="0" applyFont="1" applyFill="1" applyBorder="1" applyAlignment="1" applyProtection="1">
      <alignment horizontal="center" vertical="center" wrapText="1" readingOrder="1"/>
      <protection locked="0"/>
    </xf>
    <xf numFmtId="0" fontId="19" fillId="4" borderId="10" xfId="0" applyFont="1" applyFill="1" applyBorder="1" applyAlignment="1" applyProtection="1">
      <alignment horizontal="left" vertical="top" wrapText="1" readingOrder="1"/>
      <protection locked="0"/>
    </xf>
    <xf numFmtId="0" fontId="19" fillId="4" borderId="1" xfId="0" applyFont="1" applyFill="1" applyBorder="1" applyAlignment="1" applyProtection="1">
      <alignment horizontal="right" vertical="top" wrapText="1" readingOrder="1"/>
      <protection locked="0"/>
    </xf>
    <xf numFmtId="164" fontId="19" fillId="4" borderId="1" xfId="0" applyNumberFormat="1" applyFont="1" applyFill="1" applyBorder="1" applyAlignment="1" applyProtection="1">
      <alignment horizontal="right" vertical="top" wrapText="1" readingOrder="1"/>
      <protection locked="0"/>
    </xf>
    <xf numFmtId="164" fontId="19" fillId="4" borderId="11" xfId="0" applyNumberFormat="1" applyFont="1" applyFill="1" applyBorder="1" applyAlignment="1" applyProtection="1">
      <alignment horizontal="right" vertical="top" wrapText="1" readingOrder="1"/>
      <protection locked="0"/>
    </xf>
    <xf numFmtId="0" fontId="20" fillId="4" borderId="10" xfId="0" applyFont="1" applyFill="1" applyBorder="1" applyAlignment="1" applyProtection="1">
      <alignment horizontal="left" vertical="top" wrapText="1" readingOrder="1"/>
      <protection locked="0"/>
    </xf>
    <xf numFmtId="0" fontId="20" fillId="4" borderId="1" xfId="0" applyFont="1" applyFill="1" applyBorder="1" applyAlignment="1" applyProtection="1">
      <alignment horizontal="left" vertical="top" wrapText="1" readingOrder="1"/>
      <protection locked="0"/>
    </xf>
    <xf numFmtId="0" fontId="20" fillId="4" borderId="1" xfId="0" applyFont="1" applyFill="1" applyBorder="1" applyAlignment="1" applyProtection="1">
      <alignment horizontal="right" vertical="top" wrapText="1" readingOrder="1"/>
      <protection locked="0"/>
    </xf>
    <xf numFmtId="164" fontId="20" fillId="4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2" fillId="4" borderId="1" xfId="0" applyFont="1" applyFill="1" applyBorder="1" applyAlignment="1" applyProtection="1">
      <alignment horizontal="right" vertical="top" wrapText="1" readingOrder="1"/>
      <protection locked="0"/>
    </xf>
    <xf numFmtId="164" fontId="2" fillId="4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9" fillId="4" borderId="10" xfId="0" applyFont="1" applyFill="1" applyBorder="1" applyAlignment="1" applyProtection="1">
      <alignment horizontal="left" vertical="top" wrapText="1" readingOrder="1"/>
      <protection locked="0"/>
    </xf>
    <xf numFmtId="0" fontId="9" fillId="4" borderId="1" xfId="0" applyFont="1" applyFill="1" applyBorder="1" applyAlignment="1" applyProtection="1">
      <alignment horizontal="right" vertical="top" wrapText="1" readingOrder="1"/>
      <protection locked="0"/>
    </xf>
    <xf numFmtId="164" fontId="9" fillId="4" borderId="1" xfId="0" applyNumberFormat="1" applyFont="1" applyFill="1" applyBorder="1" applyAlignment="1" applyProtection="1">
      <alignment horizontal="right" vertical="top" wrapText="1" readingOrder="1"/>
      <protection locked="0"/>
    </xf>
    <xf numFmtId="164" fontId="0" fillId="2" borderId="0" xfId="0" applyNumberFormat="1" applyFill="1"/>
    <xf numFmtId="0" fontId="3" fillId="4" borderId="10" xfId="0" applyFont="1" applyFill="1" applyBorder="1" applyAlignment="1" applyProtection="1">
      <alignment horizontal="center" vertical="center" wrapText="1" readingOrder="1"/>
      <protection locked="0"/>
    </xf>
    <xf numFmtId="0" fontId="3" fillId="4" borderId="1" xfId="0" applyFont="1" applyFill="1" applyBorder="1" applyAlignment="1" applyProtection="1">
      <alignment horizontal="center" vertical="center" wrapText="1" readingOrder="1"/>
      <protection locked="0"/>
    </xf>
    <xf numFmtId="0" fontId="3" fillId="4" borderId="11" xfId="0" applyFont="1" applyFill="1" applyBorder="1" applyAlignment="1" applyProtection="1">
      <alignment horizontal="center" vertical="center" wrapText="1" readingOrder="1"/>
      <protection locked="0"/>
    </xf>
    <xf numFmtId="0" fontId="22" fillId="4" borderId="10" xfId="0" applyFont="1" applyFill="1" applyBorder="1" applyAlignment="1" applyProtection="1">
      <alignment horizontal="left" vertical="top" wrapText="1" readingOrder="1"/>
      <protection locked="0"/>
    </xf>
    <xf numFmtId="0" fontId="22" fillId="4" borderId="1" xfId="0" applyFont="1" applyFill="1" applyBorder="1" applyAlignment="1" applyProtection="1">
      <alignment horizontal="right" vertical="top" wrapText="1" readingOrder="1"/>
      <protection locked="0"/>
    </xf>
    <xf numFmtId="164" fontId="22" fillId="4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6" fillId="2" borderId="10" xfId="0" applyFont="1" applyFill="1" applyBorder="1" applyAlignment="1" applyProtection="1">
      <alignment vertical="top" wrapText="1" readingOrder="1"/>
      <protection locked="0"/>
    </xf>
    <xf numFmtId="164" fontId="6" fillId="2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19" fillId="2" borderId="12" xfId="0" applyFont="1" applyFill="1" applyBorder="1" applyAlignment="1" applyProtection="1">
      <alignment vertical="center" wrapText="1" readingOrder="1"/>
      <protection locked="0"/>
    </xf>
    <xf numFmtId="164" fontId="19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16" fillId="4" borderId="10" xfId="0" applyFont="1" applyFill="1" applyBorder="1" applyAlignment="1" applyProtection="1">
      <alignment horizontal="center" vertical="center" wrapText="1" readingOrder="1"/>
      <protection locked="0"/>
    </xf>
    <xf numFmtId="0" fontId="16" fillId="2" borderId="1" xfId="0" applyFont="1" applyFill="1" applyBorder="1" applyAlignment="1" applyProtection="1">
      <alignment horizontal="center" vertical="center" wrapText="1"/>
      <protection locked="0"/>
    </xf>
    <xf numFmtId="4" fontId="13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4" fontId="16" fillId="2" borderId="1" xfId="0" applyNumberFormat="1" applyFont="1" applyFill="1" applyBorder="1"/>
    <xf numFmtId="4" fontId="11" fillId="2" borderId="1" xfId="0" applyNumberFormat="1" applyFont="1" applyFill="1" applyBorder="1"/>
    <xf numFmtId="4" fontId="26" fillId="2" borderId="1" xfId="0" applyNumberFormat="1" applyFont="1" applyFill="1" applyBorder="1"/>
    <xf numFmtId="4" fontId="11" fillId="0" borderId="1" xfId="0" applyNumberFormat="1" applyFont="1" applyBorder="1"/>
    <xf numFmtId="4" fontId="16" fillId="3" borderId="1" xfId="0" applyNumberFormat="1" applyFont="1" applyFill="1" applyBorder="1"/>
    <xf numFmtId="4" fontId="11" fillId="3" borderId="1" xfId="0" applyNumberFormat="1" applyFont="1" applyFill="1" applyBorder="1"/>
    <xf numFmtId="4" fontId="11" fillId="3" borderId="4" xfId="0" applyNumberFormat="1" applyFont="1" applyFill="1" applyBorder="1"/>
    <xf numFmtId="0" fontId="16" fillId="2" borderId="10" xfId="0" applyFont="1" applyFill="1" applyBorder="1"/>
    <xf numFmtId="0" fontId="16" fillId="3" borderId="10" xfId="0" applyFont="1" applyFill="1" applyBorder="1"/>
    <xf numFmtId="0" fontId="16" fillId="3" borderId="10" xfId="0" applyFont="1" applyFill="1" applyBorder="1" applyAlignment="1">
      <alignment horizontal="left"/>
    </xf>
    <xf numFmtId="0" fontId="11" fillId="3" borderId="12" xfId="0" applyFont="1" applyFill="1" applyBorder="1"/>
    <xf numFmtId="0" fontId="27" fillId="0" borderId="0" xfId="0" applyFont="1"/>
    <xf numFmtId="0" fontId="29" fillId="6" borderId="1" xfId="0" applyFont="1" applyFill="1" applyBorder="1" applyAlignment="1">
      <alignment horizontal="center" vertical="center" wrapText="1"/>
    </xf>
    <xf numFmtId="0" fontId="29" fillId="6" borderId="27" xfId="0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horizontal="center" wrapText="1"/>
    </xf>
    <xf numFmtId="49" fontId="27" fillId="0" borderId="31" xfId="0" applyNumberFormat="1" applyFont="1" applyBorder="1" applyAlignment="1">
      <alignment horizontal="center" vertical="center" wrapText="1"/>
    </xf>
    <xf numFmtId="0" fontId="27" fillId="0" borderId="31" xfId="0" applyFont="1" applyBorder="1" applyAlignment="1">
      <alignment vertical="top" wrapText="1"/>
    </xf>
    <xf numFmtId="49" fontId="27" fillId="0" borderId="2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vertical="top" wrapText="1"/>
    </xf>
    <xf numFmtId="0" fontId="29" fillId="8" borderId="1" xfId="0" applyFont="1" applyFill="1" applyBorder="1" applyAlignment="1">
      <alignment vertical="top" wrapText="1"/>
    </xf>
    <xf numFmtId="0" fontId="29" fillId="0" borderId="33" xfId="0" applyFont="1" applyBorder="1" applyAlignment="1">
      <alignment horizontal="center"/>
    </xf>
    <xf numFmtId="0" fontId="31" fillId="6" borderId="3" xfId="0" applyFont="1" applyFill="1" applyBorder="1" applyAlignment="1">
      <alignment horizontal="center" vertical="center"/>
    </xf>
    <xf numFmtId="4" fontId="16" fillId="9" borderId="1" xfId="0" applyNumberFormat="1" applyFont="1" applyFill="1" applyBorder="1"/>
    <xf numFmtId="0" fontId="8" fillId="4" borderId="1" xfId="0" applyFont="1" applyFill="1" applyBorder="1" applyAlignment="1" applyProtection="1">
      <alignment horizontal="left" vertical="center" wrapText="1" readingOrder="1"/>
      <protection locked="0"/>
    </xf>
    <xf numFmtId="0" fontId="33" fillId="2" borderId="1" xfId="0" applyFont="1" applyFill="1" applyBorder="1"/>
    <xf numFmtId="0" fontId="34" fillId="4" borderId="1" xfId="0" applyFont="1" applyFill="1" applyBorder="1" applyAlignment="1" applyProtection="1">
      <alignment horizontal="left" vertical="center" wrapText="1" readingOrder="1"/>
      <protection locked="0"/>
    </xf>
    <xf numFmtId="0" fontId="15" fillId="4" borderId="10" xfId="0" applyFont="1" applyFill="1" applyBorder="1" applyAlignment="1" applyProtection="1">
      <alignment horizontal="left" vertical="top" wrapText="1" readingOrder="1"/>
      <protection locked="0"/>
    </xf>
    <xf numFmtId="0" fontId="35" fillId="4" borderId="1" xfId="0" applyFont="1" applyFill="1" applyBorder="1" applyAlignment="1" applyProtection="1">
      <alignment horizontal="left" vertical="top" wrapText="1" readingOrder="1"/>
      <protection locked="0"/>
    </xf>
    <xf numFmtId="0" fontId="14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 wrapText="1"/>
    </xf>
    <xf numFmtId="4" fontId="36" fillId="2" borderId="1" xfId="0" applyNumberFormat="1" applyFont="1" applyFill="1" applyBorder="1" applyAlignment="1" applyProtection="1">
      <alignment vertical="top" wrapText="1"/>
      <protection locked="0"/>
    </xf>
    <xf numFmtId="0" fontId="25" fillId="2" borderId="1" xfId="0" applyFont="1" applyFill="1" applyBorder="1"/>
    <xf numFmtId="3" fontId="17" fillId="2" borderId="1" xfId="0" applyNumberFormat="1" applyFont="1" applyFill="1" applyBorder="1"/>
    <xf numFmtId="164" fontId="38" fillId="4" borderId="11" xfId="0" applyNumberFormat="1" applyFont="1" applyFill="1" applyBorder="1" applyAlignment="1" applyProtection="1">
      <alignment horizontal="right" vertical="center" wrapText="1" readingOrder="1"/>
      <protection locked="0"/>
    </xf>
    <xf numFmtId="164" fontId="39" fillId="4" borderId="11" xfId="0" applyNumberFormat="1" applyFont="1" applyFill="1" applyBorder="1" applyAlignment="1" applyProtection="1">
      <alignment horizontal="right" vertical="top" wrapText="1" readingOrder="1"/>
      <protection locked="0"/>
    </xf>
    <xf numFmtId="164" fontId="19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" fontId="0" fillId="2" borderId="2" xfId="0" applyNumberFormat="1" applyFill="1" applyBorder="1"/>
    <xf numFmtId="4" fontId="0" fillId="2" borderId="5" xfId="0" applyNumberFormat="1" applyFill="1" applyBorder="1"/>
    <xf numFmtId="4" fontId="19" fillId="4" borderId="1" xfId="0" applyNumberFormat="1" applyFont="1" applyFill="1" applyBorder="1" applyAlignment="1" applyProtection="1">
      <alignment horizontal="right" vertical="top" wrapText="1" readingOrder="1"/>
      <protection locked="0"/>
    </xf>
    <xf numFmtId="4" fontId="20" fillId="4" borderId="1" xfId="0" applyNumberFormat="1" applyFont="1" applyFill="1" applyBorder="1" applyAlignment="1" applyProtection="1">
      <alignment horizontal="right" vertical="top" wrapText="1" readingOrder="1"/>
      <protection locked="0"/>
    </xf>
    <xf numFmtId="4" fontId="2" fillId="4" borderId="1" xfId="0" applyNumberFormat="1" applyFont="1" applyFill="1" applyBorder="1" applyAlignment="1" applyProtection="1">
      <alignment horizontal="right" vertical="top" wrapText="1" readingOrder="1"/>
      <protection locked="0"/>
    </xf>
    <xf numFmtId="4" fontId="9" fillId="4" borderId="1" xfId="0" applyNumberFormat="1" applyFont="1" applyFill="1" applyBorder="1" applyAlignment="1" applyProtection="1">
      <alignment horizontal="right" vertical="top" wrapText="1" readingOrder="1"/>
      <protection locked="0"/>
    </xf>
    <xf numFmtId="4" fontId="22" fillId="4" borderId="1" xfId="0" applyNumberFormat="1" applyFont="1" applyFill="1" applyBorder="1" applyAlignment="1" applyProtection="1">
      <alignment horizontal="right" vertical="top" wrapText="1" readingOrder="1"/>
      <protection locked="0"/>
    </xf>
    <xf numFmtId="4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4" borderId="1" xfId="0" applyFont="1" applyFill="1" applyBorder="1" applyAlignment="1" applyProtection="1">
      <alignment horizontal="center" vertical="center" wrapText="1" readingOrder="1"/>
      <protection locked="0"/>
    </xf>
    <xf numFmtId="4" fontId="6" fillId="2" borderId="1" xfId="0" applyNumberFormat="1" applyFont="1" applyFill="1" applyBorder="1" applyAlignment="1">
      <alignment vertical="top"/>
    </xf>
    <xf numFmtId="4" fontId="19" fillId="2" borderId="4" xfId="0" applyNumberFormat="1" applyFont="1" applyFill="1" applyBorder="1" applyAlignment="1" applyProtection="1">
      <alignment vertical="center" wrapText="1"/>
      <protection locked="0"/>
    </xf>
    <xf numFmtId="0" fontId="13" fillId="2" borderId="19" xfId="0" applyFont="1" applyFill="1" applyBorder="1" applyAlignment="1" applyProtection="1">
      <alignment horizontal="center" vertical="top" wrapText="1" readingOrder="1"/>
      <protection locked="0"/>
    </xf>
    <xf numFmtId="0" fontId="13" fillId="2" borderId="20" xfId="0" applyFont="1" applyFill="1" applyBorder="1" applyAlignment="1" applyProtection="1">
      <alignment horizontal="center" vertical="top" wrapText="1" readingOrder="1"/>
      <protection locked="0"/>
    </xf>
    <xf numFmtId="0" fontId="13" fillId="2" borderId="6" xfId="0" applyFont="1" applyFill="1" applyBorder="1" applyAlignment="1" applyProtection="1">
      <alignment horizontal="center" vertical="top" wrapText="1" readingOrder="1"/>
      <protection locked="0"/>
    </xf>
    <xf numFmtId="0" fontId="16" fillId="0" borderId="22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22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29" fillId="0" borderId="27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top" wrapText="1"/>
    </xf>
    <xf numFmtId="0" fontId="29" fillId="0" borderId="3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left"/>
    </xf>
    <xf numFmtId="0" fontId="29" fillId="6" borderId="28" xfId="0" applyFont="1" applyFill="1" applyBorder="1" applyAlignment="1">
      <alignment horizontal="center" vertical="center" wrapText="1"/>
    </xf>
    <xf numFmtId="0" fontId="29" fillId="6" borderId="29" xfId="0" applyFont="1" applyFill="1" applyBorder="1" applyAlignment="1">
      <alignment horizontal="center" vertical="center" wrapText="1"/>
    </xf>
    <xf numFmtId="0" fontId="30" fillId="7" borderId="30" xfId="0" applyFont="1" applyFill="1" applyBorder="1" applyAlignment="1">
      <alignment horizontal="center" wrapText="1"/>
    </xf>
    <xf numFmtId="0" fontId="30" fillId="7" borderId="3" xfId="0" applyFont="1" applyFill="1" applyBorder="1" applyAlignment="1">
      <alignment horizontal="center" wrapText="1"/>
    </xf>
    <xf numFmtId="0" fontId="29" fillId="0" borderId="30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10" fillId="2" borderId="15" xfId="0" applyFont="1" applyFill="1" applyBorder="1" applyAlignment="1" applyProtection="1">
      <alignment horizontal="center" vertical="top" wrapText="1" readingOrder="1"/>
      <protection locked="0"/>
    </xf>
    <xf numFmtId="0" fontId="10" fillId="2" borderId="16" xfId="0" applyFont="1" applyFill="1" applyBorder="1" applyAlignment="1" applyProtection="1">
      <alignment horizontal="center" vertical="top" wrapText="1" readingOrder="1"/>
      <protection locked="0"/>
    </xf>
    <xf numFmtId="0" fontId="10" fillId="2" borderId="17" xfId="0" applyFont="1" applyFill="1" applyBorder="1" applyAlignment="1" applyProtection="1">
      <alignment horizontal="center" vertical="top" wrapText="1" readingOrder="1"/>
      <protection locked="0"/>
    </xf>
    <xf numFmtId="0" fontId="19" fillId="4" borderId="1" xfId="0" applyFont="1" applyFill="1" applyBorder="1" applyAlignment="1" applyProtection="1">
      <alignment horizontal="left" vertical="top" wrapText="1" readingOrder="1"/>
      <protection locked="0"/>
    </xf>
    <xf numFmtId="0" fontId="9" fillId="2" borderId="1" xfId="0" applyFont="1" applyFill="1" applyBorder="1"/>
    <xf numFmtId="0" fontId="18" fillId="0" borderId="24" xfId="0" applyFont="1" applyBorder="1" applyAlignment="1" applyProtection="1">
      <alignment horizontal="center" vertical="top" wrapText="1" readingOrder="1"/>
      <protection locked="0"/>
    </xf>
    <xf numFmtId="0" fontId="0" fillId="0" borderId="25" xfId="0" applyBorder="1" applyAlignment="1">
      <alignment horizontal="center" readingOrder="1"/>
    </xf>
    <xf numFmtId="0" fontId="0" fillId="0" borderId="26" xfId="0" applyBorder="1" applyAlignment="1">
      <alignment horizontal="center" readingOrder="1"/>
    </xf>
    <xf numFmtId="0" fontId="19" fillId="2" borderId="1" xfId="0" applyFont="1" applyFill="1" applyBorder="1" applyAlignment="1" applyProtection="1">
      <alignment vertical="top" wrapText="1"/>
      <protection locked="0"/>
    </xf>
    <xf numFmtId="0" fontId="19" fillId="2" borderId="1" xfId="0" applyFont="1" applyFill="1" applyBorder="1"/>
    <xf numFmtId="0" fontId="9" fillId="4" borderId="1" xfId="0" applyFont="1" applyFill="1" applyBorder="1" applyAlignment="1" applyProtection="1">
      <alignment horizontal="left" vertical="top" wrapText="1" readingOrder="1"/>
      <protection locked="0"/>
    </xf>
    <xf numFmtId="0" fontId="9" fillId="2" borderId="1" xfId="0" applyFont="1" applyFill="1" applyBorder="1" applyAlignment="1" applyProtection="1">
      <alignment vertical="top" wrapText="1"/>
      <protection locked="0"/>
    </xf>
    <xf numFmtId="0" fontId="22" fillId="4" borderId="30" xfId="0" applyFont="1" applyFill="1" applyBorder="1" applyAlignment="1" applyProtection="1">
      <alignment horizontal="center" vertical="top" wrapText="1" readingOrder="1"/>
      <protection locked="0"/>
    </xf>
    <xf numFmtId="0" fontId="22" fillId="4" borderId="3" xfId="0" applyFont="1" applyFill="1" applyBorder="1" applyAlignment="1" applyProtection="1">
      <alignment horizontal="center" vertical="top" wrapText="1" readingOrder="1"/>
      <protection locked="0"/>
    </xf>
    <xf numFmtId="0" fontId="22" fillId="4" borderId="30" xfId="0" applyFont="1" applyFill="1" applyBorder="1" applyAlignment="1" applyProtection="1">
      <alignment vertical="top" wrapText="1" readingOrder="1"/>
      <protection locked="0"/>
    </xf>
    <xf numFmtId="0" fontId="22" fillId="4" borderId="3" xfId="0" applyFont="1" applyFill="1" applyBorder="1" applyAlignment="1" applyProtection="1">
      <alignment vertical="top" wrapText="1" readingOrder="1"/>
      <protection locked="0"/>
    </xf>
    <xf numFmtId="0" fontId="19" fillId="2" borderId="4" xfId="0" applyFont="1" applyFill="1" applyBorder="1" applyAlignment="1" applyProtection="1">
      <alignment vertical="center" wrapText="1" readingOrder="1"/>
      <protection locked="0"/>
    </xf>
    <xf numFmtId="0" fontId="19" fillId="2" borderId="4" xfId="0" applyFont="1" applyFill="1" applyBorder="1" applyAlignment="1" applyProtection="1">
      <alignment vertical="top" wrapText="1"/>
      <protection locked="0"/>
    </xf>
    <xf numFmtId="0" fontId="22" fillId="4" borderId="1" xfId="0" applyFont="1" applyFill="1" applyBorder="1" applyAlignment="1" applyProtection="1">
      <alignment horizontal="left" vertical="top" wrapText="1" readingOrder="1"/>
      <protection locked="0"/>
    </xf>
    <xf numFmtId="0" fontId="23" fillId="2" borderId="1" xfId="0" applyFont="1" applyFill="1" applyBorder="1" applyAlignment="1" applyProtection="1">
      <alignment vertical="top" wrapText="1"/>
      <protection locked="0"/>
    </xf>
    <xf numFmtId="0" fontId="8" fillId="4" borderId="10" xfId="0" applyFont="1" applyFill="1" applyBorder="1" applyAlignment="1" applyProtection="1">
      <alignment vertical="center" wrapText="1" readingOrder="1"/>
      <protection locked="0"/>
    </xf>
    <xf numFmtId="0" fontId="21" fillId="2" borderId="1" xfId="0" applyFont="1" applyFill="1" applyBorder="1" applyAlignment="1" applyProtection="1">
      <alignment vertical="top" wrapText="1"/>
      <protection locked="0"/>
    </xf>
    <xf numFmtId="0" fontId="6" fillId="2" borderId="1" xfId="0" applyFont="1" applyFill="1" applyBorder="1" applyAlignment="1" applyProtection="1">
      <alignment vertical="top" wrapText="1" readingOrder="1"/>
      <protection locked="0"/>
    </xf>
    <xf numFmtId="0" fontId="6" fillId="2" borderId="1" xfId="0" applyFont="1" applyFill="1" applyBorder="1"/>
    <xf numFmtId="0" fontId="1" fillId="2" borderId="40" xfId="0" applyFont="1" applyFill="1" applyBorder="1" applyAlignment="1">
      <alignment horizontal="center"/>
    </xf>
    <xf numFmtId="0" fontId="1" fillId="2" borderId="41" xfId="0" applyFont="1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2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4" fontId="14" fillId="2" borderId="30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6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6" fillId="2" borderId="3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horizontal="center"/>
    </xf>
    <xf numFmtId="0" fontId="16" fillId="2" borderId="30" xfId="0" applyFont="1" applyFill="1" applyBorder="1" applyAlignment="1" applyProtection="1">
      <alignment horizontal="center" vertical="center" wrapText="1"/>
      <protection locked="0"/>
    </xf>
    <xf numFmtId="0" fontId="16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30" xfId="0" applyFont="1" applyFill="1" applyBorder="1" applyAlignment="1" applyProtection="1">
      <alignment horizontal="center" vertical="center" wrapText="1" readingOrder="1"/>
      <protection locked="0"/>
    </xf>
    <xf numFmtId="0" fontId="12" fillId="2" borderId="3" xfId="0" applyFont="1" applyFill="1" applyBorder="1" applyAlignment="1" applyProtection="1">
      <alignment horizontal="center" vertical="center" wrapText="1" readingOrder="1"/>
      <protection locked="0"/>
    </xf>
    <xf numFmtId="4" fontId="36" fillId="2" borderId="30" xfId="0" applyNumberFormat="1" applyFont="1" applyFill="1" applyBorder="1" applyAlignment="1" applyProtection="1">
      <alignment horizontal="center" vertical="top" wrapText="1"/>
      <protection locked="0"/>
    </xf>
    <xf numFmtId="4" fontId="36" fillId="2" borderId="3" xfId="0" applyNumberFormat="1" applyFont="1" applyFill="1" applyBorder="1" applyAlignment="1" applyProtection="1">
      <alignment horizontal="center" vertical="top" wrapText="1"/>
      <protection locked="0"/>
    </xf>
    <xf numFmtId="4" fontId="16" fillId="2" borderId="30" xfId="0" applyNumberFormat="1" applyFont="1" applyFill="1" applyBorder="1" applyAlignment="1" applyProtection="1">
      <alignment horizontal="center" vertical="center" wrapText="1"/>
      <protection locked="0"/>
    </xf>
    <xf numFmtId="4" fontId="16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7" fillId="4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vertical="top" wrapText="1"/>
      <protection locked="0"/>
    </xf>
    <xf numFmtId="4" fontId="14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12" fillId="2" borderId="1" xfId="0" applyNumberFormat="1" applyFont="1" applyFill="1" applyBorder="1" applyAlignment="1" applyProtection="1">
      <alignment horizontal="right" vertical="top" wrapText="1"/>
      <protection locked="0"/>
    </xf>
    <xf numFmtId="4" fontId="16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12" fillId="2" borderId="11" xfId="0" applyNumberFormat="1" applyFont="1" applyFill="1" applyBorder="1" applyAlignment="1" applyProtection="1">
      <alignment horizontal="right" vertical="top" wrapText="1"/>
      <protection locked="0"/>
    </xf>
    <xf numFmtId="0" fontId="9" fillId="4" borderId="12" xfId="0" applyFont="1" applyFill="1" applyBorder="1" applyAlignment="1" applyProtection="1">
      <alignment vertical="center" wrapText="1" readingOrder="1"/>
      <protection locked="0"/>
    </xf>
    <xf numFmtId="0" fontId="5" fillId="2" borderId="4" xfId="0" applyFont="1" applyFill="1" applyBorder="1" applyAlignment="1" applyProtection="1">
      <alignment vertical="top" wrapText="1"/>
      <protection locked="0"/>
    </xf>
    <xf numFmtId="4" fontId="16" fillId="4" borderId="4" xfId="0" applyNumberFormat="1" applyFont="1" applyFill="1" applyBorder="1" applyAlignment="1" applyProtection="1">
      <alignment horizontal="right" vertical="center" wrapText="1"/>
      <protection locked="0"/>
    </xf>
    <xf numFmtId="4" fontId="12" fillId="2" borderId="4" xfId="0" applyNumberFormat="1" applyFont="1" applyFill="1" applyBorder="1" applyAlignment="1" applyProtection="1">
      <alignment horizontal="right" vertical="top" wrapText="1"/>
      <protection locked="0"/>
    </xf>
    <xf numFmtId="4" fontId="12" fillId="2" borderId="13" xfId="0" applyNumberFormat="1" applyFont="1" applyFill="1" applyBorder="1" applyAlignment="1" applyProtection="1">
      <alignment horizontal="right" vertical="top" wrapText="1"/>
      <protection locked="0"/>
    </xf>
    <xf numFmtId="0" fontId="16" fillId="4" borderId="1" xfId="0" applyFont="1" applyFill="1" applyBorder="1" applyAlignment="1" applyProtection="1">
      <alignment horizontal="center" vertical="center" wrapText="1" readingOrder="1"/>
      <protection locked="0"/>
    </xf>
    <xf numFmtId="0" fontId="24" fillId="2" borderId="1" xfId="0" applyFont="1" applyFill="1" applyBorder="1" applyAlignment="1" applyProtection="1">
      <alignment vertical="top" wrapText="1"/>
      <protection locked="0"/>
    </xf>
    <xf numFmtId="0" fontId="24" fillId="2" borderId="11" xfId="0" applyFont="1" applyFill="1" applyBorder="1" applyAlignment="1" applyProtection="1">
      <alignment vertical="top" wrapText="1"/>
      <protection locked="0"/>
    </xf>
    <xf numFmtId="0" fontId="14" fillId="2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" xfId="0" applyFont="1" applyFill="1" applyBorder="1" applyAlignment="1" applyProtection="1">
      <alignment vertical="center" wrapText="1" readingOrder="1"/>
      <protection locked="0"/>
    </xf>
    <xf numFmtId="0" fontId="12" fillId="2" borderId="11" xfId="0" applyFont="1" applyFill="1" applyBorder="1" applyAlignment="1" applyProtection="1">
      <alignment vertical="center" wrapText="1" readingOrder="1"/>
      <protection locked="0"/>
    </xf>
    <xf numFmtId="4" fontId="36" fillId="2" borderId="1" xfId="0" applyNumberFormat="1" applyFont="1" applyFill="1" applyBorder="1" applyAlignment="1" applyProtection="1">
      <alignment vertical="top" wrapText="1" readingOrder="1"/>
      <protection locked="0"/>
    </xf>
    <xf numFmtId="0" fontId="37" fillId="2" borderId="1" xfId="0" applyFont="1" applyFill="1" applyBorder="1" applyAlignment="1" applyProtection="1">
      <alignment vertical="top" wrapText="1"/>
      <protection locked="0"/>
    </xf>
    <xf numFmtId="4" fontId="36" fillId="2" borderId="1" xfId="0" applyNumberFormat="1" applyFont="1" applyFill="1" applyBorder="1" applyAlignment="1" applyProtection="1">
      <alignment horizontal="right" vertical="top" wrapText="1" readingOrder="1"/>
      <protection locked="0"/>
    </xf>
    <xf numFmtId="4" fontId="37" fillId="2" borderId="1" xfId="0" applyNumberFormat="1" applyFont="1" applyFill="1" applyBorder="1" applyAlignment="1" applyProtection="1">
      <alignment horizontal="right" vertical="top" wrapText="1" readingOrder="1"/>
      <protection locked="0"/>
    </xf>
    <xf numFmtId="4" fontId="37" fillId="2" borderId="11" xfId="0" applyNumberFormat="1" applyFont="1" applyFill="1" applyBorder="1" applyAlignment="1" applyProtection="1">
      <alignment horizontal="right" vertical="top" wrapText="1" readingOrder="1"/>
      <protection locked="0"/>
    </xf>
    <xf numFmtId="0" fontId="8" fillId="4" borderId="1" xfId="0" applyFont="1" applyFill="1" applyBorder="1" applyAlignment="1" applyProtection="1">
      <alignment horizontal="left" vertical="center" wrapText="1" readingOrder="1"/>
      <protection locked="0"/>
    </xf>
    <xf numFmtId="0" fontId="36" fillId="2" borderId="22" xfId="0" applyFont="1" applyFill="1" applyBorder="1" applyAlignment="1" applyProtection="1">
      <alignment horizontal="left" vertical="center" wrapText="1" readingOrder="1"/>
      <protection locked="0"/>
    </xf>
    <xf numFmtId="0" fontId="36" fillId="2" borderId="21" xfId="0" applyFont="1" applyFill="1" applyBorder="1" applyAlignment="1" applyProtection="1">
      <alignment horizontal="left" vertical="center" wrapText="1" readingOrder="1"/>
      <protection locked="0"/>
    </xf>
    <xf numFmtId="0" fontId="36" fillId="2" borderId="3" xfId="0" applyFont="1" applyFill="1" applyBorder="1" applyAlignment="1" applyProtection="1">
      <alignment horizontal="left" vertical="center" wrapText="1" readingOrder="1"/>
      <protection locked="0"/>
    </xf>
    <xf numFmtId="0" fontId="17" fillId="2" borderId="2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7" xfId="0" applyFont="1" applyFill="1" applyBorder="1" applyAlignment="1">
      <alignment horizontal="center"/>
    </xf>
    <xf numFmtId="0" fontId="27" fillId="0" borderId="0" xfId="0" applyFont="1" applyBorder="1"/>
    <xf numFmtId="0" fontId="27" fillId="1" borderId="43" xfId="0" applyFont="1" applyFill="1" applyBorder="1" applyAlignment="1">
      <alignment horizontal="center" wrapText="1"/>
    </xf>
    <xf numFmtId="0" fontId="27" fillId="1" borderId="33" xfId="0" applyFont="1" applyFill="1" applyBorder="1" applyAlignment="1">
      <alignment horizontal="center" wrapText="1"/>
    </xf>
    <xf numFmtId="0" fontId="27" fillId="1" borderId="34" xfId="0" applyFont="1" applyFill="1" applyBorder="1" applyAlignment="1">
      <alignment horizontal="center" wrapText="1"/>
    </xf>
    <xf numFmtId="0" fontId="27" fillId="1" borderId="2" xfId="0" applyFont="1" applyFill="1" applyBorder="1"/>
    <xf numFmtId="0" fontId="27" fillId="0" borderId="0" xfId="0" applyFont="1" applyAlignment="1">
      <alignment horizontal="center"/>
    </xf>
    <xf numFmtId="0" fontId="29" fillId="2" borderId="27" xfId="0" applyFont="1" applyFill="1" applyBorder="1" applyAlignment="1">
      <alignment horizontal="center" vertical="center"/>
    </xf>
    <xf numFmtId="0" fontId="27" fillId="2" borderId="29" xfId="0" applyFont="1" applyFill="1" applyBorder="1" applyAlignment="1">
      <alignment horizontal="left" vertical="top" wrapText="1"/>
    </xf>
    <xf numFmtId="0" fontId="27" fillId="2" borderId="31" xfId="0" applyFont="1" applyFill="1" applyBorder="1" applyAlignment="1">
      <alignment vertical="top" wrapText="1"/>
    </xf>
    <xf numFmtId="4" fontId="27" fillId="10" borderId="44" xfId="0" applyNumberFormat="1" applyFont="1" applyFill="1" applyBorder="1" applyAlignment="1" applyProtection="1">
      <alignment horizontal="left" vertical="center" shrinkToFit="1"/>
      <protection hidden="1"/>
    </xf>
    <xf numFmtId="0" fontId="29" fillId="2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top" wrapText="1"/>
    </xf>
    <xf numFmtId="0" fontId="27" fillId="2" borderId="29" xfId="0" applyFont="1" applyFill="1" applyBorder="1" applyAlignment="1">
      <alignment horizontal="center" vertical="top" wrapText="1"/>
    </xf>
    <xf numFmtId="0" fontId="27" fillId="2" borderId="27" xfId="0" applyFont="1" applyFill="1" applyBorder="1" applyAlignment="1">
      <alignment horizontal="left" vertical="top" wrapText="1"/>
    </xf>
    <xf numFmtId="0" fontId="29" fillId="2" borderId="32" xfId="0" applyFont="1" applyFill="1" applyBorder="1" applyAlignment="1">
      <alignment horizontal="center" vertical="center"/>
    </xf>
    <xf numFmtId="0" fontId="27" fillId="2" borderId="34" xfId="0" applyFont="1" applyFill="1" applyBorder="1" applyAlignment="1">
      <alignment horizontal="left" vertical="top" wrapText="1"/>
    </xf>
    <xf numFmtId="4" fontId="27" fillId="2" borderId="31" xfId="0" applyNumberFormat="1" applyFont="1" applyFill="1" applyBorder="1" applyAlignment="1">
      <alignment horizontal="left" vertical="top" wrapText="1"/>
    </xf>
    <xf numFmtId="0" fontId="29" fillId="2" borderId="30" xfId="0" applyFont="1" applyFill="1" applyBorder="1" applyAlignment="1">
      <alignment horizontal="center" vertical="center" wrapText="1"/>
    </xf>
    <xf numFmtId="0" fontId="29" fillId="2" borderId="21" xfId="0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horizontal="center" vertical="center" wrapText="1"/>
    </xf>
    <xf numFmtId="4" fontId="32" fillId="10" borderId="35" xfId="0" applyNumberFormat="1" applyFont="1" applyFill="1" applyBorder="1" applyAlignment="1" applyProtection="1">
      <alignment horizontal="left" vertical="center" shrinkToFit="1"/>
      <protection hidden="1"/>
    </xf>
    <xf numFmtId="3" fontId="32" fillId="10" borderId="35" xfId="0" applyNumberFormat="1" applyFont="1" applyFill="1" applyBorder="1" applyAlignment="1" applyProtection="1">
      <alignment horizontal="right" vertical="center" shrinkToFit="1"/>
      <protection hidden="1"/>
    </xf>
    <xf numFmtId="0" fontId="27" fillId="2" borderId="36" xfId="0" applyFont="1" applyFill="1" applyBorder="1" applyAlignment="1">
      <alignment horizontal="center" vertical="top" wrapText="1"/>
    </xf>
    <xf numFmtId="0" fontId="27" fillId="2" borderId="33" xfId="0" applyFont="1" applyFill="1" applyBorder="1" applyAlignment="1">
      <alignment horizontal="center" vertical="top" wrapText="1"/>
    </xf>
  </cellXfs>
  <cellStyles count="2">
    <cellStyle name="Normalno" xfId="0" builtinId="0"/>
    <cellStyle name="Normalno 3" xfId="1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5"/>
  <sheetViews>
    <sheetView workbookViewId="0">
      <selection activeCell="B2" sqref="B2:J27"/>
    </sheetView>
  </sheetViews>
  <sheetFormatPr defaultRowHeight="15" x14ac:dyDescent="0.25"/>
  <cols>
    <col min="2" max="2" width="41.28515625" customWidth="1"/>
    <col min="3" max="4" width="18.140625" customWidth="1"/>
    <col min="5" max="5" width="21" customWidth="1"/>
    <col min="6" max="6" width="18.28515625" customWidth="1"/>
    <col min="7" max="7" width="17" customWidth="1"/>
    <col min="8" max="8" width="20.42578125" customWidth="1"/>
    <col min="9" max="9" width="9.140625" hidden="1" customWidth="1"/>
    <col min="10" max="10" width="0.140625" customWidth="1"/>
    <col min="258" max="258" width="41.28515625" customWidth="1"/>
    <col min="259" max="259" width="16.140625" customWidth="1"/>
    <col min="260" max="260" width="19.85546875" customWidth="1"/>
    <col min="261" max="261" width="18.5703125" customWidth="1"/>
    <col min="262" max="262" width="16.85546875" customWidth="1"/>
    <col min="263" max="263" width="12" customWidth="1"/>
    <col min="264" max="264" width="12.5703125" customWidth="1"/>
    <col min="514" max="514" width="41.28515625" customWidth="1"/>
    <col min="515" max="515" width="16.140625" customWidth="1"/>
    <col min="516" max="516" width="19.85546875" customWidth="1"/>
    <col min="517" max="517" width="18.5703125" customWidth="1"/>
    <col min="518" max="518" width="16.85546875" customWidth="1"/>
    <col min="519" max="519" width="12" customWidth="1"/>
    <col min="520" max="520" width="12.5703125" customWidth="1"/>
    <col min="770" max="770" width="41.28515625" customWidth="1"/>
    <col min="771" max="771" width="16.140625" customWidth="1"/>
    <col min="772" max="772" width="19.85546875" customWidth="1"/>
    <col min="773" max="773" width="18.5703125" customWidth="1"/>
    <col min="774" max="774" width="16.85546875" customWidth="1"/>
    <col min="775" max="775" width="12" customWidth="1"/>
    <col min="776" max="776" width="12.5703125" customWidth="1"/>
    <col min="1026" max="1026" width="41.28515625" customWidth="1"/>
    <col min="1027" max="1027" width="16.140625" customWidth="1"/>
    <col min="1028" max="1028" width="19.85546875" customWidth="1"/>
    <col min="1029" max="1029" width="18.5703125" customWidth="1"/>
    <col min="1030" max="1030" width="16.85546875" customWidth="1"/>
    <col min="1031" max="1031" width="12" customWidth="1"/>
    <col min="1032" max="1032" width="12.5703125" customWidth="1"/>
    <col min="1282" max="1282" width="41.28515625" customWidth="1"/>
    <col min="1283" max="1283" width="16.140625" customWidth="1"/>
    <col min="1284" max="1284" width="19.85546875" customWidth="1"/>
    <col min="1285" max="1285" width="18.5703125" customWidth="1"/>
    <col min="1286" max="1286" width="16.85546875" customWidth="1"/>
    <col min="1287" max="1287" width="12" customWidth="1"/>
    <col min="1288" max="1288" width="12.5703125" customWidth="1"/>
    <col min="1538" max="1538" width="41.28515625" customWidth="1"/>
    <col min="1539" max="1539" width="16.140625" customWidth="1"/>
    <col min="1540" max="1540" width="19.85546875" customWidth="1"/>
    <col min="1541" max="1541" width="18.5703125" customWidth="1"/>
    <col min="1542" max="1542" width="16.85546875" customWidth="1"/>
    <col min="1543" max="1543" width="12" customWidth="1"/>
    <col min="1544" max="1544" width="12.5703125" customWidth="1"/>
    <col min="1794" max="1794" width="41.28515625" customWidth="1"/>
    <col min="1795" max="1795" width="16.140625" customWidth="1"/>
    <col min="1796" max="1796" width="19.85546875" customWidth="1"/>
    <col min="1797" max="1797" width="18.5703125" customWidth="1"/>
    <col min="1798" max="1798" width="16.85546875" customWidth="1"/>
    <col min="1799" max="1799" width="12" customWidth="1"/>
    <col min="1800" max="1800" width="12.5703125" customWidth="1"/>
    <col min="2050" max="2050" width="41.28515625" customWidth="1"/>
    <col min="2051" max="2051" width="16.140625" customWidth="1"/>
    <col min="2052" max="2052" width="19.85546875" customWidth="1"/>
    <col min="2053" max="2053" width="18.5703125" customWidth="1"/>
    <col min="2054" max="2054" width="16.85546875" customWidth="1"/>
    <col min="2055" max="2055" width="12" customWidth="1"/>
    <col min="2056" max="2056" width="12.5703125" customWidth="1"/>
    <col min="2306" max="2306" width="41.28515625" customWidth="1"/>
    <col min="2307" max="2307" width="16.140625" customWidth="1"/>
    <col min="2308" max="2308" width="19.85546875" customWidth="1"/>
    <col min="2309" max="2309" width="18.5703125" customWidth="1"/>
    <col min="2310" max="2310" width="16.85546875" customWidth="1"/>
    <col min="2311" max="2311" width="12" customWidth="1"/>
    <col min="2312" max="2312" width="12.5703125" customWidth="1"/>
    <col min="2562" max="2562" width="41.28515625" customWidth="1"/>
    <col min="2563" max="2563" width="16.140625" customWidth="1"/>
    <col min="2564" max="2564" width="19.85546875" customWidth="1"/>
    <col min="2565" max="2565" width="18.5703125" customWidth="1"/>
    <col min="2566" max="2566" width="16.85546875" customWidth="1"/>
    <col min="2567" max="2567" width="12" customWidth="1"/>
    <col min="2568" max="2568" width="12.5703125" customWidth="1"/>
    <col min="2818" max="2818" width="41.28515625" customWidth="1"/>
    <col min="2819" max="2819" width="16.140625" customWidth="1"/>
    <col min="2820" max="2820" width="19.85546875" customWidth="1"/>
    <col min="2821" max="2821" width="18.5703125" customWidth="1"/>
    <col min="2822" max="2822" width="16.85546875" customWidth="1"/>
    <col min="2823" max="2823" width="12" customWidth="1"/>
    <col min="2824" max="2824" width="12.5703125" customWidth="1"/>
    <col min="3074" max="3074" width="41.28515625" customWidth="1"/>
    <col min="3075" max="3075" width="16.140625" customWidth="1"/>
    <col min="3076" max="3076" width="19.85546875" customWidth="1"/>
    <col min="3077" max="3077" width="18.5703125" customWidth="1"/>
    <col min="3078" max="3078" width="16.85546875" customWidth="1"/>
    <col min="3079" max="3079" width="12" customWidth="1"/>
    <col min="3080" max="3080" width="12.5703125" customWidth="1"/>
    <col min="3330" max="3330" width="41.28515625" customWidth="1"/>
    <col min="3331" max="3331" width="16.140625" customWidth="1"/>
    <col min="3332" max="3332" width="19.85546875" customWidth="1"/>
    <col min="3333" max="3333" width="18.5703125" customWidth="1"/>
    <col min="3334" max="3334" width="16.85546875" customWidth="1"/>
    <col min="3335" max="3335" width="12" customWidth="1"/>
    <col min="3336" max="3336" width="12.5703125" customWidth="1"/>
    <col min="3586" max="3586" width="41.28515625" customWidth="1"/>
    <col min="3587" max="3587" width="16.140625" customWidth="1"/>
    <col min="3588" max="3588" width="19.85546875" customWidth="1"/>
    <col min="3589" max="3589" width="18.5703125" customWidth="1"/>
    <col min="3590" max="3590" width="16.85546875" customWidth="1"/>
    <col min="3591" max="3591" width="12" customWidth="1"/>
    <col min="3592" max="3592" width="12.5703125" customWidth="1"/>
    <col min="3842" max="3842" width="41.28515625" customWidth="1"/>
    <col min="3843" max="3843" width="16.140625" customWidth="1"/>
    <col min="3844" max="3844" width="19.85546875" customWidth="1"/>
    <col min="3845" max="3845" width="18.5703125" customWidth="1"/>
    <col min="3846" max="3846" width="16.85546875" customWidth="1"/>
    <col min="3847" max="3847" width="12" customWidth="1"/>
    <col min="3848" max="3848" width="12.5703125" customWidth="1"/>
    <col min="4098" max="4098" width="41.28515625" customWidth="1"/>
    <col min="4099" max="4099" width="16.140625" customWidth="1"/>
    <col min="4100" max="4100" width="19.85546875" customWidth="1"/>
    <col min="4101" max="4101" width="18.5703125" customWidth="1"/>
    <col min="4102" max="4102" width="16.85546875" customWidth="1"/>
    <col min="4103" max="4103" width="12" customWidth="1"/>
    <col min="4104" max="4104" width="12.5703125" customWidth="1"/>
    <col min="4354" max="4354" width="41.28515625" customWidth="1"/>
    <col min="4355" max="4355" width="16.140625" customWidth="1"/>
    <col min="4356" max="4356" width="19.85546875" customWidth="1"/>
    <col min="4357" max="4357" width="18.5703125" customWidth="1"/>
    <col min="4358" max="4358" width="16.85546875" customWidth="1"/>
    <col min="4359" max="4359" width="12" customWidth="1"/>
    <col min="4360" max="4360" width="12.5703125" customWidth="1"/>
    <col min="4610" max="4610" width="41.28515625" customWidth="1"/>
    <col min="4611" max="4611" width="16.140625" customWidth="1"/>
    <col min="4612" max="4612" width="19.85546875" customWidth="1"/>
    <col min="4613" max="4613" width="18.5703125" customWidth="1"/>
    <col min="4614" max="4614" width="16.85546875" customWidth="1"/>
    <col min="4615" max="4615" width="12" customWidth="1"/>
    <col min="4616" max="4616" width="12.5703125" customWidth="1"/>
    <col min="4866" max="4866" width="41.28515625" customWidth="1"/>
    <col min="4867" max="4867" width="16.140625" customWidth="1"/>
    <col min="4868" max="4868" width="19.85546875" customWidth="1"/>
    <col min="4869" max="4869" width="18.5703125" customWidth="1"/>
    <col min="4870" max="4870" width="16.85546875" customWidth="1"/>
    <col min="4871" max="4871" width="12" customWidth="1"/>
    <col min="4872" max="4872" width="12.5703125" customWidth="1"/>
    <col min="5122" max="5122" width="41.28515625" customWidth="1"/>
    <col min="5123" max="5123" width="16.140625" customWidth="1"/>
    <col min="5124" max="5124" width="19.85546875" customWidth="1"/>
    <col min="5125" max="5125" width="18.5703125" customWidth="1"/>
    <col min="5126" max="5126" width="16.85546875" customWidth="1"/>
    <col min="5127" max="5127" width="12" customWidth="1"/>
    <col min="5128" max="5128" width="12.5703125" customWidth="1"/>
    <col min="5378" max="5378" width="41.28515625" customWidth="1"/>
    <col min="5379" max="5379" width="16.140625" customWidth="1"/>
    <col min="5380" max="5380" width="19.85546875" customWidth="1"/>
    <col min="5381" max="5381" width="18.5703125" customWidth="1"/>
    <col min="5382" max="5382" width="16.85546875" customWidth="1"/>
    <col min="5383" max="5383" width="12" customWidth="1"/>
    <col min="5384" max="5384" width="12.5703125" customWidth="1"/>
    <col min="5634" max="5634" width="41.28515625" customWidth="1"/>
    <col min="5635" max="5635" width="16.140625" customWidth="1"/>
    <col min="5636" max="5636" width="19.85546875" customWidth="1"/>
    <col min="5637" max="5637" width="18.5703125" customWidth="1"/>
    <col min="5638" max="5638" width="16.85546875" customWidth="1"/>
    <col min="5639" max="5639" width="12" customWidth="1"/>
    <col min="5640" max="5640" width="12.5703125" customWidth="1"/>
    <col min="5890" max="5890" width="41.28515625" customWidth="1"/>
    <col min="5891" max="5891" width="16.140625" customWidth="1"/>
    <col min="5892" max="5892" width="19.85546875" customWidth="1"/>
    <col min="5893" max="5893" width="18.5703125" customWidth="1"/>
    <col min="5894" max="5894" width="16.85546875" customWidth="1"/>
    <col min="5895" max="5895" width="12" customWidth="1"/>
    <col min="5896" max="5896" width="12.5703125" customWidth="1"/>
    <col min="6146" max="6146" width="41.28515625" customWidth="1"/>
    <col min="6147" max="6147" width="16.140625" customWidth="1"/>
    <col min="6148" max="6148" width="19.85546875" customWidth="1"/>
    <col min="6149" max="6149" width="18.5703125" customWidth="1"/>
    <col min="6150" max="6150" width="16.85546875" customWidth="1"/>
    <col min="6151" max="6151" width="12" customWidth="1"/>
    <col min="6152" max="6152" width="12.5703125" customWidth="1"/>
    <col min="6402" max="6402" width="41.28515625" customWidth="1"/>
    <col min="6403" max="6403" width="16.140625" customWidth="1"/>
    <col min="6404" max="6404" width="19.85546875" customWidth="1"/>
    <col min="6405" max="6405" width="18.5703125" customWidth="1"/>
    <col min="6406" max="6406" width="16.85546875" customWidth="1"/>
    <col min="6407" max="6407" width="12" customWidth="1"/>
    <col min="6408" max="6408" width="12.5703125" customWidth="1"/>
    <col min="6658" max="6658" width="41.28515625" customWidth="1"/>
    <col min="6659" max="6659" width="16.140625" customWidth="1"/>
    <col min="6660" max="6660" width="19.85546875" customWidth="1"/>
    <col min="6661" max="6661" width="18.5703125" customWidth="1"/>
    <col min="6662" max="6662" width="16.85546875" customWidth="1"/>
    <col min="6663" max="6663" width="12" customWidth="1"/>
    <col min="6664" max="6664" width="12.5703125" customWidth="1"/>
    <col min="6914" max="6914" width="41.28515625" customWidth="1"/>
    <col min="6915" max="6915" width="16.140625" customWidth="1"/>
    <col min="6916" max="6916" width="19.85546875" customWidth="1"/>
    <col min="6917" max="6917" width="18.5703125" customWidth="1"/>
    <col min="6918" max="6918" width="16.85546875" customWidth="1"/>
    <col min="6919" max="6919" width="12" customWidth="1"/>
    <col min="6920" max="6920" width="12.5703125" customWidth="1"/>
    <col min="7170" max="7170" width="41.28515625" customWidth="1"/>
    <col min="7171" max="7171" width="16.140625" customWidth="1"/>
    <col min="7172" max="7172" width="19.85546875" customWidth="1"/>
    <col min="7173" max="7173" width="18.5703125" customWidth="1"/>
    <col min="7174" max="7174" width="16.85546875" customWidth="1"/>
    <col min="7175" max="7175" width="12" customWidth="1"/>
    <col min="7176" max="7176" width="12.5703125" customWidth="1"/>
    <col min="7426" max="7426" width="41.28515625" customWidth="1"/>
    <col min="7427" max="7427" width="16.140625" customWidth="1"/>
    <col min="7428" max="7428" width="19.85546875" customWidth="1"/>
    <col min="7429" max="7429" width="18.5703125" customWidth="1"/>
    <col min="7430" max="7430" width="16.85546875" customWidth="1"/>
    <col min="7431" max="7431" width="12" customWidth="1"/>
    <col min="7432" max="7432" width="12.5703125" customWidth="1"/>
    <col min="7682" max="7682" width="41.28515625" customWidth="1"/>
    <col min="7683" max="7683" width="16.140625" customWidth="1"/>
    <col min="7684" max="7684" width="19.85546875" customWidth="1"/>
    <col min="7685" max="7685" width="18.5703125" customWidth="1"/>
    <col min="7686" max="7686" width="16.85546875" customWidth="1"/>
    <col min="7687" max="7687" width="12" customWidth="1"/>
    <col min="7688" max="7688" width="12.5703125" customWidth="1"/>
    <col min="7938" max="7938" width="41.28515625" customWidth="1"/>
    <col min="7939" max="7939" width="16.140625" customWidth="1"/>
    <col min="7940" max="7940" width="19.85546875" customWidth="1"/>
    <col min="7941" max="7941" width="18.5703125" customWidth="1"/>
    <col min="7942" max="7942" width="16.85546875" customWidth="1"/>
    <col min="7943" max="7943" width="12" customWidth="1"/>
    <col min="7944" max="7944" width="12.5703125" customWidth="1"/>
    <col min="8194" max="8194" width="41.28515625" customWidth="1"/>
    <col min="8195" max="8195" width="16.140625" customWidth="1"/>
    <col min="8196" max="8196" width="19.85546875" customWidth="1"/>
    <col min="8197" max="8197" width="18.5703125" customWidth="1"/>
    <col min="8198" max="8198" width="16.85546875" customWidth="1"/>
    <col min="8199" max="8199" width="12" customWidth="1"/>
    <col min="8200" max="8200" width="12.5703125" customWidth="1"/>
    <col min="8450" max="8450" width="41.28515625" customWidth="1"/>
    <col min="8451" max="8451" width="16.140625" customWidth="1"/>
    <col min="8452" max="8452" width="19.85546875" customWidth="1"/>
    <col min="8453" max="8453" width="18.5703125" customWidth="1"/>
    <col min="8454" max="8454" width="16.85546875" customWidth="1"/>
    <col min="8455" max="8455" width="12" customWidth="1"/>
    <col min="8456" max="8456" width="12.5703125" customWidth="1"/>
    <col min="8706" max="8706" width="41.28515625" customWidth="1"/>
    <col min="8707" max="8707" width="16.140625" customWidth="1"/>
    <col min="8708" max="8708" width="19.85546875" customWidth="1"/>
    <col min="8709" max="8709" width="18.5703125" customWidth="1"/>
    <col min="8710" max="8710" width="16.85546875" customWidth="1"/>
    <col min="8711" max="8711" width="12" customWidth="1"/>
    <col min="8712" max="8712" width="12.5703125" customWidth="1"/>
    <col min="8962" max="8962" width="41.28515625" customWidth="1"/>
    <col min="8963" max="8963" width="16.140625" customWidth="1"/>
    <col min="8964" max="8964" width="19.85546875" customWidth="1"/>
    <col min="8965" max="8965" width="18.5703125" customWidth="1"/>
    <col min="8966" max="8966" width="16.85546875" customWidth="1"/>
    <col min="8967" max="8967" width="12" customWidth="1"/>
    <col min="8968" max="8968" width="12.5703125" customWidth="1"/>
    <col min="9218" max="9218" width="41.28515625" customWidth="1"/>
    <col min="9219" max="9219" width="16.140625" customWidth="1"/>
    <col min="9220" max="9220" width="19.85546875" customWidth="1"/>
    <col min="9221" max="9221" width="18.5703125" customWidth="1"/>
    <col min="9222" max="9222" width="16.85546875" customWidth="1"/>
    <col min="9223" max="9223" width="12" customWidth="1"/>
    <col min="9224" max="9224" width="12.5703125" customWidth="1"/>
    <col min="9474" max="9474" width="41.28515625" customWidth="1"/>
    <col min="9475" max="9475" width="16.140625" customWidth="1"/>
    <col min="9476" max="9476" width="19.85546875" customWidth="1"/>
    <col min="9477" max="9477" width="18.5703125" customWidth="1"/>
    <col min="9478" max="9478" width="16.85546875" customWidth="1"/>
    <col min="9479" max="9479" width="12" customWidth="1"/>
    <col min="9480" max="9480" width="12.5703125" customWidth="1"/>
    <col min="9730" max="9730" width="41.28515625" customWidth="1"/>
    <col min="9731" max="9731" width="16.140625" customWidth="1"/>
    <col min="9732" max="9732" width="19.85546875" customWidth="1"/>
    <col min="9733" max="9733" width="18.5703125" customWidth="1"/>
    <col min="9734" max="9734" width="16.85546875" customWidth="1"/>
    <col min="9735" max="9735" width="12" customWidth="1"/>
    <col min="9736" max="9736" width="12.5703125" customWidth="1"/>
    <col min="9986" max="9986" width="41.28515625" customWidth="1"/>
    <col min="9987" max="9987" width="16.140625" customWidth="1"/>
    <col min="9988" max="9988" width="19.85546875" customWidth="1"/>
    <col min="9989" max="9989" width="18.5703125" customWidth="1"/>
    <col min="9990" max="9990" width="16.85546875" customWidth="1"/>
    <col min="9991" max="9991" width="12" customWidth="1"/>
    <col min="9992" max="9992" width="12.5703125" customWidth="1"/>
    <col min="10242" max="10242" width="41.28515625" customWidth="1"/>
    <col min="10243" max="10243" width="16.140625" customWidth="1"/>
    <col min="10244" max="10244" width="19.85546875" customWidth="1"/>
    <col min="10245" max="10245" width="18.5703125" customWidth="1"/>
    <col min="10246" max="10246" width="16.85546875" customWidth="1"/>
    <col min="10247" max="10247" width="12" customWidth="1"/>
    <col min="10248" max="10248" width="12.5703125" customWidth="1"/>
    <col min="10498" max="10498" width="41.28515625" customWidth="1"/>
    <col min="10499" max="10499" width="16.140625" customWidth="1"/>
    <col min="10500" max="10500" width="19.85546875" customWidth="1"/>
    <col min="10501" max="10501" width="18.5703125" customWidth="1"/>
    <col min="10502" max="10502" width="16.85546875" customWidth="1"/>
    <col min="10503" max="10503" width="12" customWidth="1"/>
    <col min="10504" max="10504" width="12.5703125" customWidth="1"/>
    <col min="10754" max="10754" width="41.28515625" customWidth="1"/>
    <col min="10755" max="10755" width="16.140625" customWidth="1"/>
    <col min="10756" max="10756" width="19.85546875" customWidth="1"/>
    <col min="10757" max="10757" width="18.5703125" customWidth="1"/>
    <col min="10758" max="10758" width="16.85546875" customWidth="1"/>
    <col min="10759" max="10759" width="12" customWidth="1"/>
    <col min="10760" max="10760" width="12.5703125" customWidth="1"/>
    <col min="11010" max="11010" width="41.28515625" customWidth="1"/>
    <col min="11011" max="11011" width="16.140625" customWidth="1"/>
    <col min="11012" max="11012" width="19.85546875" customWidth="1"/>
    <col min="11013" max="11013" width="18.5703125" customWidth="1"/>
    <col min="11014" max="11014" width="16.85546875" customWidth="1"/>
    <col min="11015" max="11015" width="12" customWidth="1"/>
    <col min="11016" max="11016" width="12.5703125" customWidth="1"/>
    <col min="11266" max="11266" width="41.28515625" customWidth="1"/>
    <col min="11267" max="11267" width="16.140625" customWidth="1"/>
    <col min="11268" max="11268" width="19.85546875" customWidth="1"/>
    <col min="11269" max="11269" width="18.5703125" customWidth="1"/>
    <col min="11270" max="11270" width="16.85546875" customWidth="1"/>
    <col min="11271" max="11271" width="12" customWidth="1"/>
    <col min="11272" max="11272" width="12.5703125" customWidth="1"/>
    <col min="11522" max="11522" width="41.28515625" customWidth="1"/>
    <col min="11523" max="11523" width="16.140625" customWidth="1"/>
    <col min="11524" max="11524" width="19.85546875" customWidth="1"/>
    <col min="11525" max="11525" width="18.5703125" customWidth="1"/>
    <col min="11526" max="11526" width="16.85546875" customWidth="1"/>
    <col min="11527" max="11527" width="12" customWidth="1"/>
    <col min="11528" max="11528" width="12.5703125" customWidth="1"/>
    <col min="11778" max="11778" width="41.28515625" customWidth="1"/>
    <col min="11779" max="11779" width="16.140625" customWidth="1"/>
    <col min="11780" max="11780" width="19.85546875" customWidth="1"/>
    <col min="11781" max="11781" width="18.5703125" customWidth="1"/>
    <col min="11782" max="11782" width="16.85546875" customWidth="1"/>
    <col min="11783" max="11783" width="12" customWidth="1"/>
    <col min="11784" max="11784" width="12.5703125" customWidth="1"/>
    <col min="12034" max="12034" width="41.28515625" customWidth="1"/>
    <col min="12035" max="12035" width="16.140625" customWidth="1"/>
    <col min="12036" max="12036" width="19.85546875" customWidth="1"/>
    <col min="12037" max="12037" width="18.5703125" customWidth="1"/>
    <col min="12038" max="12038" width="16.85546875" customWidth="1"/>
    <col min="12039" max="12039" width="12" customWidth="1"/>
    <col min="12040" max="12040" width="12.5703125" customWidth="1"/>
    <col min="12290" max="12290" width="41.28515625" customWidth="1"/>
    <col min="12291" max="12291" width="16.140625" customWidth="1"/>
    <col min="12292" max="12292" width="19.85546875" customWidth="1"/>
    <col min="12293" max="12293" width="18.5703125" customWidth="1"/>
    <col min="12294" max="12294" width="16.85546875" customWidth="1"/>
    <col min="12295" max="12295" width="12" customWidth="1"/>
    <col min="12296" max="12296" width="12.5703125" customWidth="1"/>
    <col min="12546" max="12546" width="41.28515625" customWidth="1"/>
    <col min="12547" max="12547" width="16.140625" customWidth="1"/>
    <col min="12548" max="12548" width="19.85546875" customWidth="1"/>
    <col min="12549" max="12549" width="18.5703125" customWidth="1"/>
    <col min="12550" max="12550" width="16.85546875" customWidth="1"/>
    <col min="12551" max="12551" width="12" customWidth="1"/>
    <col min="12552" max="12552" width="12.5703125" customWidth="1"/>
    <col min="12802" max="12802" width="41.28515625" customWidth="1"/>
    <col min="12803" max="12803" width="16.140625" customWidth="1"/>
    <col min="12804" max="12804" width="19.85546875" customWidth="1"/>
    <col min="12805" max="12805" width="18.5703125" customWidth="1"/>
    <col min="12806" max="12806" width="16.85546875" customWidth="1"/>
    <col min="12807" max="12807" width="12" customWidth="1"/>
    <col min="12808" max="12808" width="12.5703125" customWidth="1"/>
    <col min="13058" max="13058" width="41.28515625" customWidth="1"/>
    <col min="13059" max="13059" width="16.140625" customWidth="1"/>
    <col min="13060" max="13060" width="19.85546875" customWidth="1"/>
    <col min="13061" max="13061" width="18.5703125" customWidth="1"/>
    <col min="13062" max="13062" width="16.85546875" customWidth="1"/>
    <col min="13063" max="13063" width="12" customWidth="1"/>
    <col min="13064" max="13064" width="12.5703125" customWidth="1"/>
    <col min="13314" max="13314" width="41.28515625" customWidth="1"/>
    <col min="13315" max="13315" width="16.140625" customWidth="1"/>
    <col min="13316" max="13316" width="19.85546875" customWidth="1"/>
    <col min="13317" max="13317" width="18.5703125" customWidth="1"/>
    <col min="13318" max="13318" width="16.85546875" customWidth="1"/>
    <col min="13319" max="13319" width="12" customWidth="1"/>
    <col min="13320" max="13320" width="12.5703125" customWidth="1"/>
    <col min="13570" max="13570" width="41.28515625" customWidth="1"/>
    <col min="13571" max="13571" width="16.140625" customWidth="1"/>
    <col min="13572" max="13572" width="19.85546875" customWidth="1"/>
    <col min="13573" max="13573" width="18.5703125" customWidth="1"/>
    <col min="13574" max="13574" width="16.85546875" customWidth="1"/>
    <col min="13575" max="13575" width="12" customWidth="1"/>
    <col min="13576" max="13576" width="12.5703125" customWidth="1"/>
    <col min="13826" max="13826" width="41.28515625" customWidth="1"/>
    <col min="13827" max="13827" width="16.140625" customWidth="1"/>
    <col min="13828" max="13828" width="19.85546875" customWidth="1"/>
    <col min="13829" max="13829" width="18.5703125" customWidth="1"/>
    <col min="13830" max="13830" width="16.85546875" customWidth="1"/>
    <col min="13831" max="13831" width="12" customWidth="1"/>
    <col min="13832" max="13832" width="12.5703125" customWidth="1"/>
    <col min="14082" max="14082" width="41.28515625" customWidth="1"/>
    <col min="14083" max="14083" width="16.140625" customWidth="1"/>
    <col min="14084" max="14084" width="19.85546875" customWidth="1"/>
    <col min="14085" max="14085" width="18.5703125" customWidth="1"/>
    <col min="14086" max="14086" width="16.85546875" customWidth="1"/>
    <col min="14087" max="14087" width="12" customWidth="1"/>
    <col min="14088" max="14088" width="12.5703125" customWidth="1"/>
    <col min="14338" max="14338" width="41.28515625" customWidth="1"/>
    <col min="14339" max="14339" width="16.140625" customWidth="1"/>
    <col min="14340" max="14340" width="19.85546875" customWidth="1"/>
    <col min="14341" max="14341" width="18.5703125" customWidth="1"/>
    <col min="14342" max="14342" width="16.85546875" customWidth="1"/>
    <col min="14343" max="14343" width="12" customWidth="1"/>
    <col min="14344" max="14344" width="12.5703125" customWidth="1"/>
    <col min="14594" max="14594" width="41.28515625" customWidth="1"/>
    <col min="14595" max="14595" width="16.140625" customWidth="1"/>
    <col min="14596" max="14596" width="19.85546875" customWidth="1"/>
    <col min="14597" max="14597" width="18.5703125" customWidth="1"/>
    <col min="14598" max="14598" width="16.85546875" customWidth="1"/>
    <col min="14599" max="14599" width="12" customWidth="1"/>
    <col min="14600" max="14600" width="12.5703125" customWidth="1"/>
    <col min="14850" max="14850" width="41.28515625" customWidth="1"/>
    <col min="14851" max="14851" width="16.140625" customWidth="1"/>
    <col min="14852" max="14852" width="19.85546875" customWidth="1"/>
    <col min="14853" max="14853" width="18.5703125" customWidth="1"/>
    <col min="14854" max="14854" width="16.85546875" customWidth="1"/>
    <col min="14855" max="14855" width="12" customWidth="1"/>
    <col min="14856" max="14856" width="12.5703125" customWidth="1"/>
    <col min="15106" max="15106" width="41.28515625" customWidth="1"/>
    <col min="15107" max="15107" width="16.140625" customWidth="1"/>
    <col min="15108" max="15108" width="19.85546875" customWidth="1"/>
    <col min="15109" max="15109" width="18.5703125" customWidth="1"/>
    <col min="15110" max="15110" width="16.85546875" customWidth="1"/>
    <col min="15111" max="15111" width="12" customWidth="1"/>
    <col min="15112" max="15112" width="12.5703125" customWidth="1"/>
    <col min="15362" max="15362" width="41.28515625" customWidth="1"/>
    <col min="15363" max="15363" width="16.140625" customWidth="1"/>
    <col min="15364" max="15364" width="19.85546875" customWidth="1"/>
    <col min="15365" max="15365" width="18.5703125" customWidth="1"/>
    <col min="15366" max="15366" width="16.85546875" customWidth="1"/>
    <col min="15367" max="15367" width="12" customWidth="1"/>
    <col min="15368" max="15368" width="12.5703125" customWidth="1"/>
    <col min="15618" max="15618" width="41.28515625" customWidth="1"/>
    <col min="15619" max="15619" width="16.140625" customWidth="1"/>
    <col min="15620" max="15620" width="19.85546875" customWidth="1"/>
    <col min="15621" max="15621" width="18.5703125" customWidth="1"/>
    <col min="15622" max="15622" width="16.85546875" customWidth="1"/>
    <col min="15623" max="15623" width="12" customWidth="1"/>
    <col min="15624" max="15624" width="12.5703125" customWidth="1"/>
    <col min="15874" max="15874" width="41.28515625" customWidth="1"/>
    <col min="15875" max="15875" width="16.140625" customWidth="1"/>
    <col min="15876" max="15876" width="19.85546875" customWidth="1"/>
    <col min="15877" max="15877" width="18.5703125" customWidth="1"/>
    <col min="15878" max="15878" width="16.85546875" customWidth="1"/>
    <col min="15879" max="15879" width="12" customWidth="1"/>
    <col min="15880" max="15880" width="12.5703125" customWidth="1"/>
    <col min="16130" max="16130" width="41.28515625" customWidth="1"/>
    <col min="16131" max="16131" width="16.140625" customWidth="1"/>
    <col min="16132" max="16132" width="19.85546875" customWidth="1"/>
    <col min="16133" max="16133" width="18.5703125" customWidth="1"/>
    <col min="16134" max="16134" width="16.85546875" customWidth="1"/>
    <col min="16135" max="16135" width="12" customWidth="1"/>
    <col min="16136" max="16136" width="12.5703125" customWidth="1"/>
  </cols>
  <sheetData>
    <row r="1" spans="2:10" ht="15.75" thickBot="1" x14ac:dyDescent="0.3"/>
    <row r="2" spans="2:10" ht="109.5" customHeight="1" thickBot="1" x14ac:dyDescent="0.3">
      <c r="B2" s="161" t="s">
        <v>303</v>
      </c>
      <c r="C2" s="162"/>
      <c r="D2" s="162"/>
      <c r="E2" s="162"/>
      <c r="F2" s="162"/>
      <c r="G2" s="162"/>
      <c r="H2" s="162"/>
      <c r="I2" s="162"/>
      <c r="J2" s="163"/>
    </row>
    <row r="3" spans="2:10" ht="30" customHeight="1" x14ac:dyDescent="0.25">
      <c r="B3" s="38" t="s">
        <v>0</v>
      </c>
      <c r="C3" s="40" t="s">
        <v>206</v>
      </c>
      <c r="D3" s="40" t="s">
        <v>325</v>
      </c>
      <c r="E3" s="40" t="s">
        <v>324</v>
      </c>
      <c r="F3" s="40" t="s">
        <v>302</v>
      </c>
      <c r="G3" s="39" t="s">
        <v>329</v>
      </c>
      <c r="H3" s="39" t="s">
        <v>207</v>
      </c>
      <c r="I3" s="64"/>
      <c r="J3" s="65"/>
    </row>
    <row r="4" spans="2:10" ht="30" customHeight="1" x14ac:dyDescent="0.25">
      <c r="B4" s="66">
        <v>1</v>
      </c>
      <c r="C4" s="67">
        <v>2</v>
      </c>
      <c r="D4" s="67">
        <v>3</v>
      </c>
      <c r="E4" s="67">
        <v>4</v>
      </c>
      <c r="F4" s="67">
        <v>5</v>
      </c>
      <c r="G4" s="67">
        <v>6</v>
      </c>
      <c r="H4" s="67">
        <v>7</v>
      </c>
      <c r="I4" s="64"/>
      <c r="J4" s="65"/>
    </row>
    <row r="5" spans="2:10" ht="30" customHeight="1" x14ac:dyDescent="0.25">
      <c r="B5" s="164" t="s">
        <v>199</v>
      </c>
      <c r="C5" s="165"/>
      <c r="D5" s="165"/>
      <c r="E5" s="165"/>
      <c r="F5" s="165"/>
      <c r="G5" s="165"/>
      <c r="H5" s="166"/>
      <c r="I5" s="68"/>
      <c r="J5" s="69"/>
    </row>
    <row r="6" spans="2:10" ht="30" customHeight="1" x14ac:dyDescent="0.25">
      <c r="B6" s="70" t="s">
        <v>1</v>
      </c>
      <c r="C6" s="41">
        <f>C7+C8</f>
        <v>277556.30765146989</v>
      </c>
      <c r="D6" s="41">
        <v>982230</v>
      </c>
      <c r="E6" s="41">
        <f>E7+E8</f>
        <v>958471</v>
      </c>
      <c r="F6" s="41">
        <f>F7+F8</f>
        <v>392877</v>
      </c>
      <c r="G6" s="41">
        <f t="shared" ref="G6:G11" si="0">F6/C6*100</f>
        <v>141.54857561130962</v>
      </c>
      <c r="H6" s="41">
        <f t="shared" ref="H6:H11" si="1">F6/E6*100</f>
        <v>40.989972570896768</v>
      </c>
      <c r="I6" s="68"/>
      <c r="J6" s="69"/>
    </row>
    <row r="7" spans="2:10" ht="30" customHeight="1" x14ac:dyDescent="0.25">
      <c r="B7" s="26" t="s">
        <v>2</v>
      </c>
      <c r="C7" s="42">
        <f>2091248/7.5345</f>
        <v>277556.30765146989</v>
      </c>
      <c r="D7" s="42">
        <v>982230</v>
      </c>
      <c r="E7" s="42">
        <v>958471</v>
      </c>
      <c r="F7" s="42">
        <v>392877</v>
      </c>
      <c r="G7" s="42">
        <f t="shared" si="0"/>
        <v>141.54857561130962</v>
      </c>
      <c r="H7" s="42">
        <f t="shared" si="1"/>
        <v>40.989972570896768</v>
      </c>
      <c r="I7" s="68"/>
      <c r="J7" s="69"/>
    </row>
    <row r="8" spans="2:10" ht="30" customHeight="1" x14ac:dyDescent="0.25">
      <c r="B8" s="75" t="s">
        <v>208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68"/>
      <c r="J8" s="69"/>
    </row>
    <row r="9" spans="2:10" ht="30" customHeight="1" x14ac:dyDescent="0.25">
      <c r="B9" s="76" t="s">
        <v>3</v>
      </c>
      <c r="C9" s="41">
        <f>C10+C11</f>
        <v>574222.31070409447</v>
      </c>
      <c r="D9" s="41">
        <v>1198569</v>
      </c>
      <c r="E9" s="41">
        <f>E10+E11</f>
        <v>1269946</v>
      </c>
      <c r="F9" s="41">
        <f>F10+F11</f>
        <v>364854</v>
      </c>
      <c r="G9" s="41">
        <f t="shared" si="0"/>
        <v>63.538805998782387</v>
      </c>
      <c r="H9" s="41">
        <f t="shared" si="1"/>
        <v>28.729883002899335</v>
      </c>
      <c r="I9" s="68"/>
      <c r="J9" s="69"/>
    </row>
    <row r="10" spans="2:10" ht="30" customHeight="1" x14ac:dyDescent="0.25">
      <c r="B10" s="26" t="s">
        <v>4</v>
      </c>
      <c r="C10" s="42">
        <f>2163239/7.5345</f>
        <v>287111.15535204724</v>
      </c>
      <c r="D10" s="42">
        <v>711230</v>
      </c>
      <c r="E10" s="42">
        <v>798359</v>
      </c>
      <c r="F10" s="42">
        <v>326215</v>
      </c>
      <c r="G10" s="42">
        <f t="shared" si="0"/>
        <v>113.61975803413308</v>
      </c>
      <c r="H10" s="42">
        <f t="shared" si="1"/>
        <v>40.86069049137042</v>
      </c>
      <c r="I10" s="68"/>
      <c r="J10" s="69"/>
    </row>
    <row r="11" spans="2:10" ht="30" customHeight="1" x14ac:dyDescent="0.25">
      <c r="B11" s="26" t="s">
        <v>5</v>
      </c>
      <c r="C11" s="42">
        <f>2163239/7.5345</f>
        <v>287111.15535204724</v>
      </c>
      <c r="D11" s="42">
        <v>487339</v>
      </c>
      <c r="E11" s="42">
        <v>471587</v>
      </c>
      <c r="F11" s="42">
        <v>38639</v>
      </c>
      <c r="G11" s="42">
        <f t="shared" si="0"/>
        <v>13.457853963431688</v>
      </c>
      <c r="H11" s="42">
        <f t="shared" si="1"/>
        <v>8.1933980368415575</v>
      </c>
      <c r="I11" s="68"/>
      <c r="J11" s="69"/>
    </row>
    <row r="12" spans="2:10" ht="30" customHeight="1" x14ac:dyDescent="0.25">
      <c r="B12" s="26" t="s">
        <v>6</v>
      </c>
      <c r="C12" s="42">
        <f>C6-C9</f>
        <v>-296666.00305262458</v>
      </c>
      <c r="D12" s="42">
        <f>D6-D9</f>
        <v>-216339</v>
      </c>
      <c r="E12" s="42">
        <f>E6-E9</f>
        <v>-311475</v>
      </c>
      <c r="F12" s="42">
        <f>F6-F9</f>
        <v>28023</v>
      </c>
      <c r="G12" s="42"/>
      <c r="H12" s="42"/>
      <c r="I12" s="68"/>
      <c r="J12" s="69"/>
    </row>
    <row r="13" spans="2:10" ht="30" customHeight="1" x14ac:dyDescent="0.25">
      <c r="B13" s="26" t="s">
        <v>7</v>
      </c>
      <c r="C13" s="42">
        <f>3040556/7.5345</f>
        <v>403551.1314619417</v>
      </c>
      <c r="D13" s="42">
        <v>216339</v>
      </c>
      <c r="E13" s="42">
        <v>311475</v>
      </c>
      <c r="F13" s="42">
        <v>311475</v>
      </c>
      <c r="G13" s="42"/>
      <c r="H13" s="42"/>
      <c r="I13" s="68"/>
      <c r="J13" s="69"/>
    </row>
    <row r="14" spans="2:10" ht="16.5" customHeight="1" x14ac:dyDescent="0.25">
      <c r="B14" s="71"/>
      <c r="C14" s="42"/>
      <c r="D14" s="42"/>
      <c r="E14" s="42"/>
      <c r="F14" s="42"/>
      <c r="G14" s="42"/>
      <c r="H14" s="42"/>
      <c r="I14" s="68"/>
      <c r="J14" s="69"/>
    </row>
    <row r="15" spans="2:10" ht="30" customHeight="1" x14ac:dyDescent="0.25">
      <c r="B15" s="164" t="s">
        <v>202</v>
      </c>
      <c r="C15" s="165"/>
      <c r="D15" s="165"/>
      <c r="E15" s="165"/>
      <c r="F15" s="165"/>
      <c r="G15" s="165"/>
      <c r="H15" s="166"/>
      <c r="I15" s="68"/>
      <c r="J15" s="69"/>
    </row>
    <row r="16" spans="2:10" ht="30" customHeight="1" x14ac:dyDescent="0.25">
      <c r="B16" s="75" t="s">
        <v>200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68"/>
      <c r="J16" s="69"/>
    </row>
    <row r="17" spans="2:10" ht="30" customHeight="1" x14ac:dyDescent="0.25">
      <c r="B17" s="75" t="s">
        <v>201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68"/>
      <c r="J17" s="69"/>
    </row>
    <row r="18" spans="2:10" ht="30" customHeight="1" x14ac:dyDescent="0.25">
      <c r="B18" s="75" t="s">
        <v>7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68"/>
      <c r="J18" s="69"/>
    </row>
    <row r="19" spans="2:10" ht="16.5" customHeight="1" x14ac:dyDescent="0.25">
      <c r="B19" s="72"/>
      <c r="C19" s="43"/>
      <c r="D19" s="43"/>
      <c r="E19" s="43"/>
      <c r="F19" s="43"/>
      <c r="G19" s="43"/>
      <c r="H19" s="43"/>
      <c r="I19" s="68"/>
      <c r="J19" s="69"/>
    </row>
    <row r="20" spans="2:10" ht="30" customHeight="1" x14ac:dyDescent="0.25">
      <c r="B20" s="167" t="s">
        <v>196</v>
      </c>
      <c r="C20" s="168"/>
      <c r="D20" s="168"/>
      <c r="E20" s="168"/>
      <c r="F20" s="168"/>
      <c r="G20" s="168"/>
      <c r="H20" s="169"/>
      <c r="I20" s="68"/>
      <c r="J20" s="69"/>
    </row>
    <row r="21" spans="2:10" ht="30" customHeight="1" x14ac:dyDescent="0.25">
      <c r="B21" s="76" t="s">
        <v>8</v>
      </c>
      <c r="C21" s="44">
        <f>C6</f>
        <v>277556.30765146989</v>
      </c>
      <c r="D21" s="44">
        <f>D6</f>
        <v>982230</v>
      </c>
      <c r="E21" s="44">
        <f>E6</f>
        <v>958471</v>
      </c>
      <c r="F21" s="44">
        <f>F6</f>
        <v>392877</v>
      </c>
      <c r="G21" s="44">
        <f>F21/C21*100</f>
        <v>141.54857561130962</v>
      </c>
      <c r="H21" s="44">
        <f>F21/E21*100</f>
        <v>40.989972570896768</v>
      </c>
      <c r="I21" s="68"/>
      <c r="J21" s="69"/>
    </row>
    <row r="22" spans="2:10" ht="30" customHeight="1" x14ac:dyDescent="0.25">
      <c r="B22" s="26" t="s">
        <v>9</v>
      </c>
      <c r="C22" s="42">
        <f>C13</f>
        <v>403551.1314619417</v>
      </c>
      <c r="D22" s="42">
        <f>D13</f>
        <v>216339</v>
      </c>
      <c r="E22" s="42">
        <f>E13</f>
        <v>311475</v>
      </c>
      <c r="F22" s="42">
        <f>F13</f>
        <v>311475</v>
      </c>
      <c r="G22" s="42">
        <f>F22/C22*100</f>
        <v>77.183527864640553</v>
      </c>
      <c r="H22" s="42">
        <f>F22/E22*100</f>
        <v>100</v>
      </c>
      <c r="I22" s="68"/>
      <c r="J22" s="69"/>
    </row>
    <row r="23" spans="2:10" ht="30" customHeight="1" x14ac:dyDescent="0.25">
      <c r="B23" s="26" t="s">
        <v>10</v>
      </c>
      <c r="C23" s="41">
        <f>C21+C22</f>
        <v>681107.43911341159</v>
      </c>
      <c r="D23" s="41">
        <f>D21+D22</f>
        <v>1198569</v>
      </c>
      <c r="E23" s="41">
        <f>E21+E22</f>
        <v>1269946</v>
      </c>
      <c r="F23" s="41">
        <f>F21+F22</f>
        <v>704352</v>
      </c>
      <c r="G23" s="41">
        <f>F23/C23*100</f>
        <v>103.41275980142657</v>
      </c>
      <c r="H23" s="41">
        <f>F23/E23*100</f>
        <v>55.46314567706029</v>
      </c>
      <c r="I23" s="68"/>
      <c r="J23" s="69"/>
    </row>
    <row r="24" spans="2:10" ht="30" customHeight="1" x14ac:dyDescent="0.25">
      <c r="B24" s="76" t="s">
        <v>197</v>
      </c>
      <c r="C24" s="44">
        <f>C9</f>
        <v>574222.31070409447</v>
      </c>
      <c r="D24" s="44">
        <f>D9</f>
        <v>1198569</v>
      </c>
      <c r="E24" s="44">
        <f>E9</f>
        <v>1269946</v>
      </c>
      <c r="F24" s="44">
        <f>F9</f>
        <v>364854</v>
      </c>
      <c r="G24" s="44">
        <f>F24/C24*100</f>
        <v>63.538805998782387</v>
      </c>
      <c r="H24" s="44">
        <f>F24/E24*100</f>
        <v>28.729883002899335</v>
      </c>
      <c r="I24" s="68"/>
      <c r="J24" s="69"/>
    </row>
    <row r="25" spans="2:10" ht="30" customHeight="1" x14ac:dyDescent="0.25">
      <c r="B25" s="26" t="s">
        <v>11</v>
      </c>
      <c r="C25" s="41">
        <f>C24</f>
        <v>574222.31070409447</v>
      </c>
      <c r="D25" s="41">
        <f>D24</f>
        <v>1198569</v>
      </c>
      <c r="E25" s="41">
        <f>E24</f>
        <v>1269946</v>
      </c>
      <c r="F25" s="41">
        <f>F24</f>
        <v>364854</v>
      </c>
      <c r="G25" s="41">
        <f>F25/C25*100</f>
        <v>63.538805998782387</v>
      </c>
      <c r="H25" s="41">
        <f>F25/E25*100</f>
        <v>28.729883002899335</v>
      </c>
      <c r="I25" s="68"/>
      <c r="J25" s="69"/>
    </row>
    <row r="26" spans="2:10" ht="30" customHeight="1" x14ac:dyDescent="0.25">
      <c r="B26" s="19"/>
      <c r="C26" s="42"/>
      <c r="D26" s="42"/>
      <c r="E26" s="42"/>
      <c r="F26" s="42"/>
      <c r="G26" s="42"/>
      <c r="H26" s="42"/>
      <c r="I26" s="68"/>
      <c r="J26" s="69"/>
    </row>
    <row r="27" spans="2:10" ht="30" customHeight="1" thickBot="1" x14ac:dyDescent="0.3">
      <c r="B27" s="77" t="s">
        <v>12</v>
      </c>
      <c r="C27" s="45">
        <f>C23-C25</f>
        <v>106885.12840931711</v>
      </c>
      <c r="D27" s="45"/>
      <c r="E27" s="45">
        <f>E23-E24</f>
        <v>0</v>
      </c>
      <c r="F27" s="45">
        <f>F23-F25</f>
        <v>339498</v>
      </c>
      <c r="G27" s="45"/>
      <c r="H27" s="45"/>
      <c r="I27" s="73"/>
      <c r="J27" s="74"/>
    </row>
    <row r="29" spans="2:10" x14ac:dyDescent="0.25">
      <c r="C29" s="1"/>
      <c r="D29" s="1"/>
      <c r="E29" s="1"/>
    </row>
    <row r="30" spans="2:10" x14ac:dyDescent="0.25">
      <c r="C30" s="1"/>
      <c r="D30" s="1"/>
      <c r="E30" s="1"/>
    </row>
    <row r="31" spans="2:10" x14ac:dyDescent="0.25">
      <c r="C31" s="1"/>
      <c r="D31" s="1"/>
      <c r="E31" s="1"/>
    </row>
    <row r="32" spans="2:10" x14ac:dyDescent="0.25">
      <c r="C32" s="1"/>
      <c r="D32" s="1"/>
      <c r="E32" s="1"/>
    </row>
    <row r="33" spans="3:5" x14ac:dyDescent="0.25">
      <c r="C33" s="1"/>
      <c r="D33" s="1"/>
      <c r="E33" s="1"/>
    </row>
    <row r="34" spans="3:5" x14ac:dyDescent="0.25">
      <c r="C34" s="1"/>
      <c r="D34" s="1"/>
      <c r="E34" s="1"/>
    </row>
    <row r="35" spans="3:5" x14ac:dyDescent="0.25">
      <c r="C35" s="1"/>
      <c r="D35" s="1"/>
      <c r="E35" s="1"/>
    </row>
  </sheetData>
  <mergeCells count="4">
    <mergeCell ref="B2:J2"/>
    <mergeCell ref="B15:H15"/>
    <mergeCell ref="B5:H5"/>
    <mergeCell ref="B20:H20"/>
  </mergeCells>
  <pageMargins left="0.7" right="0.7" top="0.75" bottom="0.75" header="0.3" footer="0.3"/>
  <pageSetup paperSize="9" scale="6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N36" sqref="N36"/>
    </sheetView>
  </sheetViews>
  <sheetFormatPr defaultRowHeight="15" x14ac:dyDescent="0.25"/>
  <sheetData>
    <row r="1" spans="1:10" ht="15.75" x14ac:dyDescent="0.25">
      <c r="A1" s="125"/>
      <c r="B1" s="176" t="s">
        <v>284</v>
      </c>
      <c r="C1" s="176"/>
      <c r="D1" s="176"/>
      <c r="E1" s="176"/>
      <c r="F1" s="176"/>
      <c r="G1" s="176"/>
      <c r="H1" s="176"/>
      <c r="I1" s="176"/>
      <c r="J1" s="176"/>
    </row>
    <row r="2" spans="1:10" x14ac:dyDescent="0.25">
      <c r="A2" s="125"/>
      <c r="B2" s="125"/>
      <c r="C2" s="125"/>
      <c r="D2" s="125"/>
      <c r="E2" s="125"/>
      <c r="F2" s="125"/>
      <c r="G2" s="125"/>
      <c r="H2" s="125"/>
      <c r="I2" s="125"/>
      <c r="J2" s="125"/>
    </row>
    <row r="3" spans="1:10" ht="114" x14ac:dyDescent="0.25">
      <c r="A3" s="126" t="s">
        <v>285</v>
      </c>
      <c r="B3" s="127" t="s">
        <v>286</v>
      </c>
      <c r="C3" s="177" t="s">
        <v>287</v>
      </c>
      <c r="D3" s="178"/>
      <c r="E3" s="127" t="s">
        <v>288</v>
      </c>
      <c r="F3" s="127" t="s">
        <v>289</v>
      </c>
      <c r="G3" s="127" t="s">
        <v>290</v>
      </c>
      <c r="H3" s="127" t="s">
        <v>291</v>
      </c>
      <c r="I3" s="127" t="s">
        <v>292</v>
      </c>
      <c r="J3" s="127" t="s">
        <v>293</v>
      </c>
    </row>
    <row r="4" spans="1:10" x14ac:dyDescent="0.25">
      <c r="A4" s="128">
        <v>1</v>
      </c>
      <c r="B4" s="128">
        <v>2</v>
      </c>
      <c r="C4" s="179">
        <v>3</v>
      </c>
      <c r="D4" s="180"/>
      <c r="E4" s="128">
        <v>4</v>
      </c>
      <c r="F4" s="128">
        <v>5</v>
      </c>
      <c r="G4" s="128">
        <v>6</v>
      </c>
      <c r="H4" s="128"/>
      <c r="I4" s="128"/>
      <c r="J4" s="128" t="s">
        <v>294</v>
      </c>
    </row>
    <row r="5" spans="1:10" x14ac:dyDescent="0.25">
      <c r="A5" s="170">
        <v>1</v>
      </c>
      <c r="B5" s="173"/>
      <c r="C5" s="129"/>
      <c r="D5" s="130"/>
      <c r="E5" s="130"/>
      <c r="F5" s="130"/>
      <c r="G5" s="130"/>
      <c r="H5" s="130"/>
      <c r="I5" s="130"/>
      <c r="J5" s="130"/>
    </row>
    <row r="6" spans="1:10" x14ac:dyDescent="0.25">
      <c r="A6" s="171"/>
      <c r="B6" s="173"/>
      <c r="C6" s="131"/>
      <c r="D6" s="132"/>
      <c r="E6" s="132"/>
      <c r="F6" s="132"/>
      <c r="G6" s="132"/>
      <c r="H6" s="132"/>
      <c r="I6" s="132"/>
      <c r="J6" s="132"/>
    </row>
    <row r="7" spans="1:10" x14ac:dyDescent="0.25">
      <c r="A7" s="172"/>
      <c r="B7" s="173"/>
      <c r="C7" s="181"/>
      <c r="D7" s="182"/>
      <c r="E7" s="133"/>
      <c r="F7" s="133"/>
      <c r="G7" s="133"/>
      <c r="H7" s="133"/>
      <c r="I7" s="133"/>
      <c r="J7" s="133"/>
    </row>
    <row r="8" spans="1:10" x14ac:dyDescent="0.25">
      <c r="A8" s="170">
        <v>2</v>
      </c>
      <c r="B8" s="173"/>
      <c r="C8" s="129"/>
      <c r="D8" s="130"/>
      <c r="E8" s="130"/>
      <c r="F8" s="130"/>
      <c r="G8" s="130"/>
      <c r="H8" s="130"/>
      <c r="I8" s="130"/>
      <c r="J8" s="130"/>
    </row>
    <row r="9" spans="1:10" x14ac:dyDescent="0.25">
      <c r="A9" s="171"/>
      <c r="B9" s="173"/>
      <c r="C9" s="131"/>
      <c r="D9" s="132"/>
      <c r="E9" s="132"/>
      <c r="F9" s="132"/>
      <c r="G9" s="132"/>
      <c r="H9" s="132"/>
      <c r="I9" s="132"/>
      <c r="J9" s="132"/>
    </row>
    <row r="10" spans="1:10" x14ac:dyDescent="0.25">
      <c r="A10" s="172"/>
      <c r="B10" s="173"/>
      <c r="C10" s="174"/>
      <c r="D10" s="175"/>
      <c r="E10" s="133"/>
      <c r="F10" s="133"/>
      <c r="G10" s="133"/>
      <c r="H10" s="133"/>
      <c r="I10" s="133"/>
      <c r="J10" s="133"/>
    </row>
  </sheetData>
  <mergeCells count="9">
    <mergeCell ref="A8:A10"/>
    <mergeCell ref="B8:B10"/>
    <mergeCell ref="C10:D10"/>
    <mergeCell ref="B1:J1"/>
    <mergeCell ref="C3:D3"/>
    <mergeCell ref="C4:D4"/>
    <mergeCell ref="A5:A7"/>
    <mergeCell ref="B5:B7"/>
    <mergeCell ref="C7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1"/>
  <sheetViews>
    <sheetView workbookViewId="0">
      <selection activeCell="B2" sqref="B2:I31"/>
    </sheetView>
  </sheetViews>
  <sheetFormatPr defaultRowHeight="15" x14ac:dyDescent="0.25"/>
  <cols>
    <col min="2" max="2" width="19.85546875" customWidth="1"/>
    <col min="3" max="3" width="30.140625" customWidth="1"/>
    <col min="4" max="5" width="15.7109375" customWidth="1"/>
    <col min="6" max="6" width="19.7109375" customWidth="1"/>
    <col min="7" max="9" width="15.7109375" customWidth="1"/>
    <col min="258" max="258" width="19.85546875" customWidth="1"/>
    <col min="259" max="259" width="27.7109375" customWidth="1"/>
    <col min="260" max="260" width="18.42578125" customWidth="1"/>
    <col min="261" max="261" width="18.7109375" customWidth="1"/>
    <col min="262" max="262" width="18.140625" customWidth="1"/>
    <col min="263" max="263" width="18.28515625" customWidth="1"/>
    <col min="514" max="514" width="19.85546875" customWidth="1"/>
    <col min="515" max="515" width="27.7109375" customWidth="1"/>
    <col min="516" max="516" width="18.42578125" customWidth="1"/>
    <col min="517" max="517" width="18.7109375" customWidth="1"/>
    <col min="518" max="518" width="18.140625" customWidth="1"/>
    <col min="519" max="519" width="18.28515625" customWidth="1"/>
    <col min="770" max="770" width="19.85546875" customWidth="1"/>
    <col min="771" max="771" width="27.7109375" customWidth="1"/>
    <col min="772" max="772" width="18.42578125" customWidth="1"/>
    <col min="773" max="773" width="18.7109375" customWidth="1"/>
    <col min="774" max="774" width="18.140625" customWidth="1"/>
    <col min="775" max="775" width="18.28515625" customWidth="1"/>
    <col min="1026" max="1026" width="19.85546875" customWidth="1"/>
    <col min="1027" max="1027" width="27.7109375" customWidth="1"/>
    <col min="1028" max="1028" width="18.42578125" customWidth="1"/>
    <col min="1029" max="1029" width="18.7109375" customWidth="1"/>
    <col min="1030" max="1030" width="18.140625" customWidth="1"/>
    <col min="1031" max="1031" width="18.28515625" customWidth="1"/>
    <col min="1282" max="1282" width="19.85546875" customWidth="1"/>
    <col min="1283" max="1283" width="27.7109375" customWidth="1"/>
    <col min="1284" max="1284" width="18.42578125" customWidth="1"/>
    <col min="1285" max="1285" width="18.7109375" customWidth="1"/>
    <col min="1286" max="1286" width="18.140625" customWidth="1"/>
    <col min="1287" max="1287" width="18.28515625" customWidth="1"/>
    <col min="1538" max="1538" width="19.85546875" customWidth="1"/>
    <col min="1539" max="1539" width="27.7109375" customWidth="1"/>
    <col min="1540" max="1540" width="18.42578125" customWidth="1"/>
    <col min="1541" max="1541" width="18.7109375" customWidth="1"/>
    <col min="1542" max="1542" width="18.140625" customWidth="1"/>
    <col min="1543" max="1543" width="18.28515625" customWidth="1"/>
    <col min="1794" max="1794" width="19.85546875" customWidth="1"/>
    <col min="1795" max="1795" width="27.7109375" customWidth="1"/>
    <col min="1796" max="1796" width="18.42578125" customWidth="1"/>
    <col min="1797" max="1797" width="18.7109375" customWidth="1"/>
    <col min="1798" max="1798" width="18.140625" customWidth="1"/>
    <col min="1799" max="1799" width="18.28515625" customWidth="1"/>
    <col min="2050" max="2050" width="19.85546875" customWidth="1"/>
    <col min="2051" max="2051" width="27.7109375" customWidth="1"/>
    <col min="2052" max="2052" width="18.42578125" customWidth="1"/>
    <col min="2053" max="2053" width="18.7109375" customWidth="1"/>
    <col min="2054" max="2054" width="18.140625" customWidth="1"/>
    <col min="2055" max="2055" width="18.28515625" customWidth="1"/>
    <col min="2306" max="2306" width="19.85546875" customWidth="1"/>
    <col min="2307" max="2307" width="27.7109375" customWidth="1"/>
    <col min="2308" max="2308" width="18.42578125" customWidth="1"/>
    <col min="2309" max="2309" width="18.7109375" customWidth="1"/>
    <col min="2310" max="2310" width="18.140625" customWidth="1"/>
    <col min="2311" max="2311" width="18.28515625" customWidth="1"/>
    <col min="2562" max="2562" width="19.85546875" customWidth="1"/>
    <col min="2563" max="2563" width="27.7109375" customWidth="1"/>
    <col min="2564" max="2564" width="18.42578125" customWidth="1"/>
    <col min="2565" max="2565" width="18.7109375" customWidth="1"/>
    <col min="2566" max="2566" width="18.140625" customWidth="1"/>
    <col min="2567" max="2567" width="18.28515625" customWidth="1"/>
    <col min="2818" max="2818" width="19.85546875" customWidth="1"/>
    <col min="2819" max="2819" width="27.7109375" customWidth="1"/>
    <col min="2820" max="2820" width="18.42578125" customWidth="1"/>
    <col min="2821" max="2821" width="18.7109375" customWidth="1"/>
    <col min="2822" max="2822" width="18.140625" customWidth="1"/>
    <col min="2823" max="2823" width="18.28515625" customWidth="1"/>
    <col min="3074" max="3074" width="19.85546875" customWidth="1"/>
    <col min="3075" max="3075" width="27.7109375" customWidth="1"/>
    <col min="3076" max="3076" width="18.42578125" customWidth="1"/>
    <col min="3077" max="3077" width="18.7109375" customWidth="1"/>
    <col min="3078" max="3078" width="18.140625" customWidth="1"/>
    <col min="3079" max="3079" width="18.28515625" customWidth="1"/>
    <col min="3330" max="3330" width="19.85546875" customWidth="1"/>
    <col min="3331" max="3331" width="27.7109375" customWidth="1"/>
    <col min="3332" max="3332" width="18.42578125" customWidth="1"/>
    <col min="3333" max="3333" width="18.7109375" customWidth="1"/>
    <col min="3334" max="3334" width="18.140625" customWidth="1"/>
    <col min="3335" max="3335" width="18.28515625" customWidth="1"/>
    <col min="3586" max="3586" width="19.85546875" customWidth="1"/>
    <col min="3587" max="3587" width="27.7109375" customWidth="1"/>
    <col min="3588" max="3588" width="18.42578125" customWidth="1"/>
    <col min="3589" max="3589" width="18.7109375" customWidth="1"/>
    <col min="3590" max="3590" width="18.140625" customWidth="1"/>
    <col min="3591" max="3591" width="18.28515625" customWidth="1"/>
    <col min="3842" max="3842" width="19.85546875" customWidth="1"/>
    <col min="3843" max="3843" width="27.7109375" customWidth="1"/>
    <col min="3844" max="3844" width="18.42578125" customWidth="1"/>
    <col min="3845" max="3845" width="18.7109375" customWidth="1"/>
    <col min="3846" max="3846" width="18.140625" customWidth="1"/>
    <col min="3847" max="3847" width="18.28515625" customWidth="1"/>
    <col min="4098" max="4098" width="19.85546875" customWidth="1"/>
    <col min="4099" max="4099" width="27.7109375" customWidth="1"/>
    <col min="4100" max="4100" width="18.42578125" customWidth="1"/>
    <col min="4101" max="4101" width="18.7109375" customWidth="1"/>
    <col min="4102" max="4102" width="18.140625" customWidth="1"/>
    <col min="4103" max="4103" width="18.28515625" customWidth="1"/>
    <col min="4354" max="4354" width="19.85546875" customWidth="1"/>
    <col min="4355" max="4355" width="27.7109375" customWidth="1"/>
    <col min="4356" max="4356" width="18.42578125" customWidth="1"/>
    <col min="4357" max="4357" width="18.7109375" customWidth="1"/>
    <col min="4358" max="4358" width="18.140625" customWidth="1"/>
    <col min="4359" max="4359" width="18.28515625" customWidth="1"/>
    <col min="4610" max="4610" width="19.85546875" customWidth="1"/>
    <col min="4611" max="4611" width="27.7109375" customWidth="1"/>
    <col min="4612" max="4612" width="18.42578125" customWidth="1"/>
    <col min="4613" max="4613" width="18.7109375" customWidth="1"/>
    <col min="4614" max="4614" width="18.140625" customWidth="1"/>
    <col min="4615" max="4615" width="18.28515625" customWidth="1"/>
    <col min="4866" max="4866" width="19.85546875" customWidth="1"/>
    <col min="4867" max="4867" width="27.7109375" customWidth="1"/>
    <col min="4868" max="4868" width="18.42578125" customWidth="1"/>
    <col min="4869" max="4869" width="18.7109375" customWidth="1"/>
    <col min="4870" max="4870" width="18.140625" customWidth="1"/>
    <col min="4871" max="4871" width="18.28515625" customWidth="1"/>
    <col min="5122" max="5122" width="19.85546875" customWidth="1"/>
    <col min="5123" max="5123" width="27.7109375" customWidth="1"/>
    <col min="5124" max="5124" width="18.42578125" customWidth="1"/>
    <col min="5125" max="5125" width="18.7109375" customWidth="1"/>
    <col min="5126" max="5126" width="18.140625" customWidth="1"/>
    <col min="5127" max="5127" width="18.28515625" customWidth="1"/>
    <col min="5378" max="5378" width="19.85546875" customWidth="1"/>
    <col min="5379" max="5379" width="27.7109375" customWidth="1"/>
    <col min="5380" max="5380" width="18.42578125" customWidth="1"/>
    <col min="5381" max="5381" width="18.7109375" customWidth="1"/>
    <col min="5382" max="5382" width="18.140625" customWidth="1"/>
    <col min="5383" max="5383" width="18.28515625" customWidth="1"/>
    <col min="5634" max="5634" width="19.85546875" customWidth="1"/>
    <col min="5635" max="5635" width="27.7109375" customWidth="1"/>
    <col min="5636" max="5636" width="18.42578125" customWidth="1"/>
    <col min="5637" max="5637" width="18.7109375" customWidth="1"/>
    <col min="5638" max="5638" width="18.140625" customWidth="1"/>
    <col min="5639" max="5639" width="18.28515625" customWidth="1"/>
    <col min="5890" max="5890" width="19.85546875" customWidth="1"/>
    <col min="5891" max="5891" width="27.7109375" customWidth="1"/>
    <col min="5892" max="5892" width="18.42578125" customWidth="1"/>
    <col min="5893" max="5893" width="18.7109375" customWidth="1"/>
    <col min="5894" max="5894" width="18.140625" customWidth="1"/>
    <col min="5895" max="5895" width="18.28515625" customWidth="1"/>
    <col min="6146" max="6146" width="19.85546875" customWidth="1"/>
    <col min="6147" max="6147" width="27.7109375" customWidth="1"/>
    <col min="6148" max="6148" width="18.42578125" customWidth="1"/>
    <col min="6149" max="6149" width="18.7109375" customWidth="1"/>
    <col min="6150" max="6150" width="18.140625" customWidth="1"/>
    <col min="6151" max="6151" width="18.28515625" customWidth="1"/>
    <col min="6402" max="6402" width="19.85546875" customWidth="1"/>
    <col min="6403" max="6403" width="27.7109375" customWidth="1"/>
    <col min="6404" max="6404" width="18.42578125" customWidth="1"/>
    <col min="6405" max="6405" width="18.7109375" customWidth="1"/>
    <col min="6406" max="6406" width="18.140625" customWidth="1"/>
    <col min="6407" max="6407" width="18.28515625" customWidth="1"/>
    <col min="6658" max="6658" width="19.85546875" customWidth="1"/>
    <col min="6659" max="6659" width="27.7109375" customWidth="1"/>
    <col min="6660" max="6660" width="18.42578125" customWidth="1"/>
    <col min="6661" max="6661" width="18.7109375" customWidth="1"/>
    <col min="6662" max="6662" width="18.140625" customWidth="1"/>
    <col min="6663" max="6663" width="18.28515625" customWidth="1"/>
    <col min="6914" max="6914" width="19.85546875" customWidth="1"/>
    <col min="6915" max="6915" width="27.7109375" customWidth="1"/>
    <col min="6916" max="6916" width="18.42578125" customWidth="1"/>
    <col min="6917" max="6917" width="18.7109375" customWidth="1"/>
    <col min="6918" max="6918" width="18.140625" customWidth="1"/>
    <col min="6919" max="6919" width="18.28515625" customWidth="1"/>
    <col min="7170" max="7170" width="19.85546875" customWidth="1"/>
    <col min="7171" max="7171" width="27.7109375" customWidth="1"/>
    <col min="7172" max="7172" width="18.42578125" customWidth="1"/>
    <col min="7173" max="7173" width="18.7109375" customWidth="1"/>
    <col min="7174" max="7174" width="18.140625" customWidth="1"/>
    <col min="7175" max="7175" width="18.28515625" customWidth="1"/>
    <col min="7426" max="7426" width="19.85546875" customWidth="1"/>
    <col min="7427" max="7427" width="27.7109375" customWidth="1"/>
    <col min="7428" max="7428" width="18.42578125" customWidth="1"/>
    <col min="7429" max="7429" width="18.7109375" customWidth="1"/>
    <col min="7430" max="7430" width="18.140625" customWidth="1"/>
    <col min="7431" max="7431" width="18.28515625" customWidth="1"/>
    <col min="7682" max="7682" width="19.85546875" customWidth="1"/>
    <col min="7683" max="7683" width="27.7109375" customWidth="1"/>
    <col min="7684" max="7684" width="18.42578125" customWidth="1"/>
    <col min="7685" max="7685" width="18.7109375" customWidth="1"/>
    <col min="7686" max="7686" width="18.140625" customWidth="1"/>
    <col min="7687" max="7687" width="18.28515625" customWidth="1"/>
    <col min="7938" max="7938" width="19.85546875" customWidth="1"/>
    <col min="7939" max="7939" width="27.7109375" customWidth="1"/>
    <col min="7940" max="7940" width="18.42578125" customWidth="1"/>
    <col min="7941" max="7941" width="18.7109375" customWidth="1"/>
    <col min="7942" max="7942" width="18.140625" customWidth="1"/>
    <col min="7943" max="7943" width="18.28515625" customWidth="1"/>
    <col min="8194" max="8194" width="19.85546875" customWidth="1"/>
    <col min="8195" max="8195" width="27.7109375" customWidth="1"/>
    <col min="8196" max="8196" width="18.42578125" customWidth="1"/>
    <col min="8197" max="8197" width="18.7109375" customWidth="1"/>
    <col min="8198" max="8198" width="18.140625" customWidth="1"/>
    <col min="8199" max="8199" width="18.28515625" customWidth="1"/>
    <col min="8450" max="8450" width="19.85546875" customWidth="1"/>
    <col min="8451" max="8451" width="27.7109375" customWidth="1"/>
    <col min="8452" max="8452" width="18.42578125" customWidth="1"/>
    <col min="8453" max="8453" width="18.7109375" customWidth="1"/>
    <col min="8454" max="8454" width="18.140625" customWidth="1"/>
    <col min="8455" max="8455" width="18.28515625" customWidth="1"/>
    <col min="8706" max="8706" width="19.85546875" customWidth="1"/>
    <col min="8707" max="8707" width="27.7109375" customWidth="1"/>
    <col min="8708" max="8708" width="18.42578125" customWidth="1"/>
    <col min="8709" max="8709" width="18.7109375" customWidth="1"/>
    <col min="8710" max="8710" width="18.140625" customWidth="1"/>
    <col min="8711" max="8711" width="18.28515625" customWidth="1"/>
    <col min="8962" max="8962" width="19.85546875" customWidth="1"/>
    <col min="8963" max="8963" width="27.7109375" customWidth="1"/>
    <col min="8964" max="8964" width="18.42578125" customWidth="1"/>
    <col min="8965" max="8965" width="18.7109375" customWidth="1"/>
    <col min="8966" max="8966" width="18.140625" customWidth="1"/>
    <col min="8967" max="8967" width="18.28515625" customWidth="1"/>
    <col min="9218" max="9218" width="19.85546875" customWidth="1"/>
    <col min="9219" max="9219" width="27.7109375" customWidth="1"/>
    <col min="9220" max="9220" width="18.42578125" customWidth="1"/>
    <col min="9221" max="9221" width="18.7109375" customWidth="1"/>
    <col min="9222" max="9222" width="18.140625" customWidth="1"/>
    <col min="9223" max="9223" width="18.28515625" customWidth="1"/>
    <col min="9474" max="9474" width="19.85546875" customWidth="1"/>
    <col min="9475" max="9475" width="27.7109375" customWidth="1"/>
    <col min="9476" max="9476" width="18.42578125" customWidth="1"/>
    <col min="9477" max="9477" width="18.7109375" customWidth="1"/>
    <col min="9478" max="9478" width="18.140625" customWidth="1"/>
    <col min="9479" max="9479" width="18.28515625" customWidth="1"/>
    <col min="9730" max="9730" width="19.85546875" customWidth="1"/>
    <col min="9731" max="9731" width="27.7109375" customWidth="1"/>
    <col min="9732" max="9732" width="18.42578125" customWidth="1"/>
    <col min="9733" max="9733" width="18.7109375" customWidth="1"/>
    <col min="9734" max="9734" width="18.140625" customWidth="1"/>
    <col min="9735" max="9735" width="18.28515625" customWidth="1"/>
    <col min="9986" max="9986" width="19.85546875" customWidth="1"/>
    <col min="9987" max="9987" width="27.7109375" customWidth="1"/>
    <col min="9988" max="9988" width="18.42578125" customWidth="1"/>
    <col min="9989" max="9989" width="18.7109375" customWidth="1"/>
    <col min="9990" max="9990" width="18.140625" customWidth="1"/>
    <col min="9991" max="9991" width="18.28515625" customWidth="1"/>
    <col min="10242" max="10242" width="19.85546875" customWidth="1"/>
    <col min="10243" max="10243" width="27.7109375" customWidth="1"/>
    <col min="10244" max="10244" width="18.42578125" customWidth="1"/>
    <col min="10245" max="10245" width="18.7109375" customWidth="1"/>
    <col min="10246" max="10246" width="18.140625" customWidth="1"/>
    <col min="10247" max="10247" width="18.28515625" customWidth="1"/>
    <col min="10498" max="10498" width="19.85546875" customWidth="1"/>
    <col min="10499" max="10499" width="27.7109375" customWidth="1"/>
    <col min="10500" max="10500" width="18.42578125" customWidth="1"/>
    <col min="10501" max="10501" width="18.7109375" customWidth="1"/>
    <col min="10502" max="10502" width="18.140625" customWidth="1"/>
    <col min="10503" max="10503" width="18.28515625" customWidth="1"/>
    <col min="10754" max="10754" width="19.85546875" customWidth="1"/>
    <col min="10755" max="10755" width="27.7109375" customWidth="1"/>
    <col min="10756" max="10756" width="18.42578125" customWidth="1"/>
    <col min="10757" max="10757" width="18.7109375" customWidth="1"/>
    <col min="10758" max="10758" width="18.140625" customWidth="1"/>
    <col min="10759" max="10759" width="18.28515625" customWidth="1"/>
    <col min="11010" max="11010" width="19.85546875" customWidth="1"/>
    <col min="11011" max="11011" width="27.7109375" customWidth="1"/>
    <col min="11012" max="11012" width="18.42578125" customWidth="1"/>
    <col min="11013" max="11013" width="18.7109375" customWidth="1"/>
    <col min="11014" max="11014" width="18.140625" customWidth="1"/>
    <col min="11015" max="11015" width="18.28515625" customWidth="1"/>
    <col min="11266" max="11266" width="19.85546875" customWidth="1"/>
    <col min="11267" max="11267" width="27.7109375" customWidth="1"/>
    <col min="11268" max="11268" width="18.42578125" customWidth="1"/>
    <col min="11269" max="11269" width="18.7109375" customWidth="1"/>
    <col min="11270" max="11270" width="18.140625" customWidth="1"/>
    <col min="11271" max="11271" width="18.28515625" customWidth="1"/>
    <col min="11522" max="11522" width="19.85546875" customWidth="1"/>
    <col min="11523" max="11523" width="27.7109375" customWidth="1"/>
    <col min="11524" max="11524" width="18.42578125" customWidth="1"/>
    <col min="11525" max="11525" width="18.7109375" customWidth="1"/>
    <col min="11526" max="11526" width="18.140625" customWidth="1"/>
    <col min="11527" max="11527" width="18.28515625" customWidth="1"/>
    <col min="11778" max="11778" width="19.85546875" customWidth="1"/>
    <col min="11779" max="11779" width="27.7109375" customWidth="1"/>
    <col min="11780" max="11780" width="18.42578125" customWidth="1"/>
    <col min="11781" max="11781" width="18.7109375" customWidth="1"/>
    <col min="11782" max="11782" width="18.140625" customWidth="1"/>
    <col min="11783" max="11783" width="18.28515625" customWidth="1"/>
    <col min="12034" max="12034" width="19.85546875" customWidth="1"/>
    <col min="12035" max="12035" width="27.7109375" customWidth="1"/>
    <col min="12036" max="12036" width="18.42578125" customWidth="1"/>
    <col min="12037" max="12037" width="18.7109375" customWidth="1"/>
    <col min="12038" max="12038" width="18.140625" customWidth="1"/>
    <col min="12039" max="12039" width="18.28515625" customWidth="1"/>
    <col min="12290" max="12290" width="19.85546875" customWidth="1"/>
    <col min="12291" max="12291" width="27.7109375" customWidth="1"/>
    <col min="12292" max="12292" width="18.42578125" customWidth="1"/>
    <col min="12293" max="12293" width="18.7109375" customWidth="1"/>
    <col min="12294" max="12294" width="18.140625" customWidth="1"/>
    <col min="12295" max="12295" width="18.28515625" customWidth="1"/>
    <col min="12546" max="12546" width="19.85546875" customWidth="1"/>
    <col min="12547" max="12547" width="27.7109375" customWidth="1"/>
    <col min="12548" max="12548" width="18.42578125" customWidth="1"/>
    <col min="12549" max="12549" width="18.7109375" customWidth="1"/>
    <col min="12550" max="12550" width="18.140625" customWidth="1"/>
    <col min="12551" max="12551" width="18.28515625" customWidth="1"/>
    <col min="12802" max="12802" width="19.85546875" customWidth="1"/>
    <col min="12803" max="12803" width="27.7109375" customWidth="1"/>
    <col min="12804" max="12804" width="18.42578125" customWidth="1"/>
    <col min="12805" max="12805" width="18.7109375" customWidth="1"/>
    <col min="12806" max="12806" width="18.140625" customWidth="1"/>
    <col min="12807" max="12807" width="18.28515625" customWidth="1"/>
    <col min="13058" max="13058" width="19.85546875" customWidth="1"/>
    <col min="13059" max="13059" width="27.7109375" customWidth="1"/>
    <col min="13060" max="13060" width="18.42578125" customWidth="1"/>
    <col min="13061" max="13061" width="18.7109375" customWidth="1"/>
    <col min="13062" max="13062" width="18.140625" customWidth="1"/>
    <col min="13063" max="13063" width="18.28515625" customWidth="1"/>
    <col min="13314" max="13314" width="19.85546875" customWidth="1"/>
    <col min="13315" max="13315" width="27.7109375" customWidth="1"/>
    <col min="13316" max="13316" width="18.42578125" customWidth="1"/>
    <col min="13317" max="13317" width="18.7109375" customWidth="1"/>
    <col min="13318" max="13318" width="18.140625" customWidth="1"/>
    <col min="13319" max="13319" width="18.28515625" customWidth="1"/>
    <col min="13570" max="13570" width="19.85546875" customWidth="1"/>
    <col min="13571" max="13571" width="27.7109375" customWidth="1"/>
    <col min="13572" max="13572" width="18.42578125" customWidth="1"/>
    <col min="13573" max="13573" width="18.7109375" customWidth="1"/>
    <col min="13574" max="13574" width="18.140625" customWidth="1"/>
    <col min="13575" max="13575" width="18.28515625" customWidth="1"/>
    <col min="13826" max="13826" width="19.85546875" customWidth="1"/>
    <col min="13827" max="13827" width="27.7109375" customWidth="1"/>
    <col min="13828" max="13828" width="18.42578125" customWidth="1"/>
    <col min="13829" max="13829" width="18.7109375" customWidth="1"/>
    <col min="13830" max="13830" width="18.140625" customWidth="1"/>
    <col min="13831" max="13831" width="18.28515625" customWidth="1"/>
    <col min="14082" max="14082" width="19.85546875" customWidth="1"/>
    <col min="14083" max="14083" width="27.7109375" customWidth="1"/>
    <col min="14084" max="14084" width="18.42578125" customWidth="1"/>
    <col min="14085" max="14085" width="18.7109375" customWidth="1"/>
    <col min="14086" max="14086" width="18.140625" customWidth="1"/>
    <col min="14087" max="14087" width="18.28515625" customWidth="1"/>
    <col min="14338" max="14338" width="19.85546875" customWidth="1"/>
    <col min="14339" max="14339" width="27.7109375" customWidth="1"/>
    <col min="14340" max="14340" width="18.42578125" customWidth="1"/>
    <col min="14341" max="14341" width="18.7109375" customWidth="1"/>
    <col min="14342" max="14342" width="18.140625" customWidth="1"/>
    <col min="14343" max="14343" width="18.28515625" customWidth="1"/>
    <col min="14594" max="14594" width="19.85546875" customWidth="1"/>
    <col min="14595" max="14595" width="27.7109375" customWidth="1"/>
    <col min="14596" max="14596" width="18.42578125" customWidth="1"/>
    <col min="14597" max="14597" width="18.7109375" customWidth="1"/>
    <col min="14598" max="14598" width="18.140625" customWidth="1"/>
    <col min="14599" max="14599" width="18.28515625" customWidth="1"/>
    <col min="14850" max="14850" width="19.85546875" customWidth="1"/>
    <col min="14851" max="14851" width="27.7109375" customWidth="1"/>
    <col min="14852" max="14852" width="18.42578125" customWidth="1"/>
    <col min="14853" max="14853" width="18.7109375" customWidth="1"/>
    <col min="14854" max="14854" width="18.140625" customWidth="1"/>
    <col min="14855" max="14855" width="18.28515625" customWidth="1"/>
    <col min="15106" max="15106" width="19.85546875" customWidth="1"/>
    <col min="15107" max="15107" width="27.7109375" customWidth="1"/>
    <col min="15108" max="15108" width="18.42578125" customWidth="1"/>
    <col min="15109" max="15109" width="18.7109375" customWidth="1"/>
    <col min="15110" max="15110" width="18.140625" customWidth="1"/>
    <col min="15111" max="15111" width="18.28515625" customWidth="1"/>
    <col min="15362" max="15362" width="19.85546875" customWidth="1"/>
    <col min="15363" max="15363" width="27.7109375" customWidth="1"/>
    <col min="15364" max="15364" width="18.42578125" customWidth="1"/>
    <col min="15365" max="15365" width="18.7109375" customWidth="1"/>
    <col min="15366" max="15366" width="18.140625" customWidth="1"/>
    <col min="15367" max="15367" width="18.28515625" customWidth="1"/>
    <col min="15618" max="15618" width="19.85546875" customWidth="1"/>
    <col min="15619" max="15619" width="27.7109375" customWidth="1"/>
    <col min="15620" max="15620" width="18.42578125" customWidth="1"/>
    <col min="15621" max="15621" width="18.7109375" customWidth="1"/>
    <col min="15622" max="15622" width="18.140625" customWidth="1"/>
    <col min="15623" max="15623" width="18.28515625" customWidth="1"/>
    <col min="15874" max="15874" width="19.85546875" customWidth="1"/>
    <col min="15875" max="15875" width="27.7109375" customWidth="1"/>
    <col min="15876" max="15876" width="18.42578125" customWidth="1"/>
    <col min="15877" max="15877" width="18.7109375" customWidth="1"/>
    <col min="15878" max="15878" width="18.140625" customWidth="1"/>
    <col min="15879" max="15879" width="18.28515625" customWidth="1"/>
    <col min="16130" max="16130" width="19.85546875" customWidth="1"/>
    <col min="16131" max="16131" width="27.7109375" customWidth="1"/>
    <col min="16132" max="16132" width="18.42578125" customWidth="1"/>
    <col min="16133" max="16133" width="18.7109375" customWidth="1"/>
    <col min="16134" max="16134" width="18.140625" customWidth="1"/>
    <col min="16135" max="16135" width="18.28515625" customWidth="1"/>
  </cols>
  <sheetData>
    <row r="1" spans="2:9" ht="15.75" thickBot="1" x14ac:dyDescent="0.3"/>
    <row r="2" spans="2:9" ht="113.25" customHeight="1" x14ac:dyDescent="0.25">
      <c r="B2" s="183" t="s">
        <v>304</v>
      </c>
      <c r="C2" s="184"/>
      <c r="D2" s="184"/>
      <c r="E2" s="184"/>
      <c r="F2" s="184"/>
      <c r="G2" s="184"/>
      <c r="H2" s="184"/>
      <c r="I2" s="185"/>
    </row>
    <row r="3" spans="2:9" ht="45.75" x14ac:dyDescent="0.25">
      <c r="B3" s="46" t="s">
        <v>183</v>
      </c>
      <c r="C3" s="47" t="s">
        <v>184</v>
      </c>
      <c r="D3" s="48" t="s">
        <v>305</v>
      </c>
      <c r="E3" s="48" t="s">
        <v>327</v>
      </c>
      <c r="F3" s="48" t="s">
        <v>326</v>
      </c>
      <c r="G3" s="48" t="s">
        <v>306</v>
      </c>
      <c r="H3" s="47" t="s">
        <v>330</v>
      </c>
      <c r="I3" s="49" t="s">
        <v>331</v>
      </c>
    </row>
    <row r="4" spans="2:9" x14ac:dyDescent="0.25">
      <c r="B4" s="6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18">
        <v>8</v>
      </c>
    </row>
    <row r="5" spans="2:9" x14ac:dyDescent="0.25">
      <c r="B5" s="6"/>
      <c r="C5" s="4"/>
      <c r="D5" s="4"/>
      <c r="E5" s="4"/>
      <c r="F5" s="4"/>
      <c r="G5" s="4"/>
      <c r="H5" s="4" t="s">
        <v>198</v>
      </c>
      <c r="I5" s="18" t="s">
        <v>175</v>
      </c>
    </row>
    <row r="6" spans="2:9" ht="15.75" x14ac:dyDescent="0.25">
      <c r="B6" s="46">
        <v>1</v>
      </c>
      <c r="C6" s="47" t="s">
        <v>185</v>
      </c>
      <c r="D6" s="47"/>
      <c r="E6" s="47"/>
      <c r="F6" s="47"/>
      <c r="G6" s="47"/>
      <c r="H6" s="47"/>
      <c r="I6" s="49"/>
    </row>
    <row r="7" spans="2:9" ht="15.75" x14ac:dyDescent="0.25">
      <c r="B7" s="46"/>
      <c r="C7" s="47" t="s">
        <v>186</v>
      </c>
      <c r="D7" s="50">
        <f>951285.24/7.5345</f>
        <v>126257.24865618156</v>
      </c>
      <c r="E7" s="50">
        <v>330287</v>
      </c>
      <c r="F7" s="50">
        <v>330287</v>
      </c>
      <c r="G7" s="50">
        <v>151718.67000000001</v>
      </c>
      <c r="H7" s="51">
        <f>G7/D7*100</f>
        <v>120.16630460018492</v>
      </c>
      <c r="I7" s="52">
        <f>G7/F7*100</f>
        <v>45.935404663217142</v>
      </c>
    </row>
    <row r="8" spans="2:9" ht="15.75" x14ac:dyDescent="0.25">
      <c r="B8" s="46"/>
      <c r="C8" s="47" t="s">
        <v>187</v>
      </c>
      <c r="D8" s="50">
        <f>951285.24/7.5345</f>
        <v>126257.24865618156</v>
      </c>
      <c r="E8" s="50">
        <v>330287</v>
      </c>
      <c r="F8" s="50">
        <v>330287</v>
      </c>
      <c r="G8" s="53">
        <v>151718.67000000001</v>
      </c>
      <c r="H8" s="51">
        <f t="shared" ref="H8:H30" si="0">G8/D8*100</f>
        <v>120.16630460018492</v>
      </c>
      <c r="I8" s="52">
        <f t="shared" ref="I8:I30" si="1">G8/F8*100</f>
        <v>45.935404663217142</v>
      </c>
    </row>
    <row r="9" spans="2:9" ht="15.75" x14ac:dyDescent="0.25">
      <c r="B9" s="46" t="s">
        <v>188</v>
      </c>
      <c r="C9" s="47"/>
      <c r="D9" s="50">
        <v>0</v>
      </c>
      <c r="E9" s="50">
        <v>0</v>
      </c>
      <c r="F9" s="50">
        <v>0</v>
      </c>
      <c r="G9" s="50">
        <v>0</v>
      </c>
      <c r="H9" s="51"/>
      <c r="I9" s="52"/>
    </row>
    <row r="10" spans="2:9" ht="15.75" x14ac:dyDescent="0.25">
      <c r="B10" s="46">
        <v>3</v>
      </c>
      <c r="C10" s="47" t="s">
        <v>181</v>
      </c>
      <c r="D10" s="50"/>
      <c r="E10" s="50"/>
      <c r="F10" s="50"/>
      <c r="G10" s="50"/>
      <c r="H10" s="51"/>
      <c r="I10" s="52"/>
    </row>
    <row r="11" spans="2:9" ht="15.75" x14ac:dyDescent="0.25">
      <c r="B11" s="46"/>
      <c r="C11" s="47" t="s">
        <v>186</v>
      </c>
      <c r="D11" s="50">
        <f>89724.52/7.5345</f>
        <v>11908.490278054283</v>
      </c>
      <c r="E11" s="50">
        <v>36113</v>
      </c>
      <c r="F11" s="50">
        <f>37440-1327</f>
        <v>36113</v>
      </c>
      <c r="G11" s="50">
        <v>14171.6</v>
      </c>
      <c r="H11" s="51">
        <f t="shared" si="0"/>
        <v>119.00416987463404</v>
      </c>
      <c r="I11" s="52">
        <f t="shared" si="1"/>
        <v>39.242378090992162</v>
      </c>
    </row>
    <row r="12" spans="2:9" ht="15.75" x14ac:dyDescent="0.25">
      <c r="B12" s="46"/>
      <c r="C12" s="47" t="s">
        <v>187</v>
      </c>
      <c r="D12" s="50">
        <f>49302.18/7.5345</f>
        <v>6543.5237905634076</v>
      </c>
      <c r="E12" s="50">
        <v>36113</v>
      </c>
      <c r="F12" s="50">
        <f>36113+17877</f>
        <v>53990</v>
      </c>
      <c r="G12" s="50">
        <v>137.9</v>
      </c>
      <c r="H12" s="51">
        <f t="shared" si="0"/>
        <v>2.1074271969312517</v>
      </c>
      <c r="I12" s="52">
        <f t="shared" si="1"/>
        <v>0.25541766993887755</v>
      </c>
    </row>
    <row r="13" spans="2:9" ht="15.75" x14ac:dyDescent="0.25">
      <c r="B13" s="46" t="s">
        <v>189</v>
      </c>
      <c r="C13" s="47"/>
      <c r="D13" s="50">
        <f>D11-D12</f>
        <v>5364.9664874908758</v>
      </c>
      <c r="E13" s="50">
        <v>0</v>
      </c>
      <c r="F13" s="50">
        <f>F11-F12</f>
        <v>-17877</v>
      </c>
      <c r="G13" s="50">
        <f>G11-G12</f>
        <v>14033.7</v>
      </c>
      <c r="H13" s="51"/>
      <c r="I13" s="52"/>
    </row>
    <row r="14" spans="2:9" ht="15.75" x14ac:dyDescent="0.25">
      <c r="B14" s="46">
        <v>4</v>
      </c>
      <c r="C14" s="47" t="s">
        <v>176</v>
      </c>
      <c r="D14" s="50"/>
      <c r="E14" s="50"/>
      <c r="F14" s="50"/>
      <c r="G14" s="50"/>
      <c r="H14" s="51"/>
      <c r="I14" s="52"/>
    </row>
    <row r="15" spans="2:9" ht="15.75" x14ac:dyDescent="0.25">
      <c r="B15" s="46"/>
      <c r="C15" s="47" t="s">
        <v>186</v>
      </c>
      <c r="D15" s="50">
        <f>956440/7.5345</f>
        <v>126941.40288008493</v>
      </c>
      <c r="E15" s="50">
        <v>563008</v>
      </c>
      <c r="F15" s="50">
        <v>563008</v>
      </c>
      <c r="G15" s="50">
        <v>212711.13</v>
      </c>
      <c r="H15" s="51">
        <f t="shared" si="0"/>
        <v>167.56639297655894</v>
      </c>
      <c r="I15" s="52">
        <f t="shared" si="1"/>
        <v>37.781191386268048</v>
      </c>
    </row>
    <row r="16" spans="2:9" ht="15.75" x14ac:dyDescent="0.25">
      <c r="B16" s="46"/>
      <c r="C16" s="47" t="s">
        <v>187</v>
      </c>
      <c r="D16" s="50">
        <f>1500356.2/7.5345</f>
        <v>199131.48848629635</v>
      </c>
      <c r="E16" s="50">
        <v>779347</v>
      </c>
      <c r="F16" s="50">
        <f>563008+288608</f>
        <v>851616</v>
      </c>
      <c r="G16" s="50">
        <f>190222.47+8015.09</f>
        <v>198237.56</v>
      </c>
      <c r="H16" s="51">
        <f t="shared" si="0"/>
        <v>99.551086323367755</v>
      </c>
      <c r="I16" s="52">
        <f t="shared" si="1"/>
        <v>23.277810656446096</v>
      </c>
    </row>
    <row r="17" spans="2:15" ht="15.75" x14ac:dyDescent="0.25">
      <c r="B17" s="46" t="s">
        <v>189</v>
      </c>
      <c r="C17" s="47"/>
      <c r="D17" s="50">
        <f>D15-D16</f>
        <v>-72190.085606211418</v>
      </c>
      <c r="E17" s="50">
        <f>E15-E16</f>
        <v>-216339</v>
      </c>
      <c r="F17" s="50">
        <f>F15-F16</f>
        <v>-288608</v>
      </c>
      <c r="G17" s="50">
        <f>G15-G16</f>
        <v>14473.570000000007</v>
      </c>
      <c r="H17" s="51"/>
      <c r="I17" s="52"/>
    </row>
    <row r="18" spans="2:15" ht="15.75" x14ac:dyDescent="0.25">
      <c r="B18" s="46">
        <v>5</v>
      </c>
      <c r="C18" s="47" t="s">
        <v>88</v>
      </c>
      <c r="D18" s="50"/>
      <c r="E18" s="50"/>
      <c r="F18" s="50"/>
      <c r="G18" s="50"/>
      <c r="H18" s="51"/>
      <c r="I18" s="52"/>
    </row>
    <row r="19" spans="2:15" ht="15.75" x14ac:dyDescent="0.25">
      <c r="B19" s="46"/>
      <c r="C19" s="47" t="s">
        <v>186</v>
      </c>
      <c r="D19" s="50">
        <f>89298/7.5345</f>
        <v>11851.881345809277</v>
      </c>
      <c r="E19" s="50">
        <v>51495</v>
      </c>
      <c r="F19" s="50">
        <v>27736</v>
      </c>
      <c r="G19" s="50">
        <v>14275.78</v>
      </c>
      <c r="H19" s="51">
        <f t="shared" si="0"/>
        <v>120.45159399986562</v>
      </c>
      <c r="I19" s="52">
        <f t="shared" si="1"/>
        <v>51.470219209691379</v>
      </c>
    </row>
    <row r="20" spans="2:15" ht="15.75" x14ac:dyDescent="0.25">
      <c r="B20" s="46"/>
      <c r="C20" s="47" t="s">
        <v>187</v>
      </c>
      <c r="D20" s="50">
        <f>1869061.4/7.5345</f>
        <v>248067.07810737271</v>
      </c>
      <c r="E20" s="50">
        <v>51495</v>
      </c>
      <c r="F20" s="50">
        <f>27736+4990</f>
        <v>32726</v>
      </c>
      <c r="G20" s="50">
        <v>14759.99</v>
      </c>
      <c r="H20" s="51">
        <f t="shared" si="0"/>
        <v>5.9499995374683792</v>
      </c>
      <c r="I20" s="52">
        <f t="shared" si="1"/>
        <v>45.101723400354459</v>
      </c>
    </row>
    <row r="21" spans="2:15" ht="15.75" x14ac:dyDescent="0.25">
      <c r="B21" s="46" t="s">
        <v>6</v>
      </c>
      <c r="C21" s="47"/>
      <c r="D21" s="50">
        <f>D19-D20</f>
        <v>-236215.19676156342</v>
      </c>
      <c r="E21" s="50">
        <v>0</v>
      </c>
      <c r="F21" s="50">
        <f>F19-F20</f>
        <v>-4990</v>
      </c>
      <c r="G21" s="50">
        <f>G19-G20</f>
        <v>-484.20999999999913</v>
      </c>
      <c r="H21" s="51"/>
      <c r="I21" s="52"/>
    </row>
    <row r="22" spans="2:15" ht="15.75" x14ac:dyDescent="0.25">
      <c r="B22" s="46">
        <v>6</v>
      </c>
      <c r="C22" s="47" t="s">
        <v>204</v>
      </c>
      <c r="D22" s="50"/>
      <c r="E22" s="50"/>
      <c r="F22" s="50"/>
      <c r="G22" s="50"/>
      <c r="H22" s="51"/>
      <c r="I22" s="52"/>
    </row>
    <row r="23" spans="2:15" ht="15.75" x14ac:dyDescent="0.25">
      <c r="B23" s="46"/>
      <c r="C23" s="47" t="s">
        <v>190</v>
      </c>
      <c r="D23" s="50">
        <f>4500/7.5345</f>
        <v>597.25263786581718</v>
      </c>
      <c r="E23" s="50">
        <v>1327</v>
      </c>
      <c r="F23" s="50">
        <v>1327</v>
      </c>
      <c r="G23" s="50">
        <v>0</v>
      </c>
      <c r="H23" s="51">
        <f t="shared" si="0"/>
        <v>0</v>
      </c>
      <c r="I23" s="52">
        <f t="shared" si="1"/>
        <v>0</v>
      </c>
    </row>
    <row r="24" spans="2:15" ht="15.75" x14ac:dyDescent="0.25">
      <c r="B24" s="46"/>
      <c r="C24" s="47" t="s">
        <v>187</v>
      </c>
      <c r="D24" s="50">
        <v>0</v>
      </c>
      <c r="E24" s="50">
        <v>1327</v>
      </c>
      <c r="F24" s="50">
        <v>1327</v>
      </c>
      <c r="G24" s="50">
        <v>0</v>
      </c>
      <c r="H24" s="51" t="e">
        <f t="shared" si="0"/>
        <v>#DIV/0!</v>
      </c>
      <c r="I24" s="52">
        <f t="shared" si="1"/>
        <v>0</v>
      </c>
    </row>
    <row r="25" spans="2:15" ht="16.5" thickBot="1" x14ac:dyDescent="0.3">
      <c r="B25" s="54" t="s">
        <v>189</v>
      </c>
      <c r="C25" s="55"/>
      <c r="D25" s="56">
        <f>D23-D24</f>
        <v>597.25263786581718</v>
      </c>
      <c r="E25" s="56">
        <v>0</v>
      </c>
      <c r="F25" s="56">
        <f>F23-F24</f>
        <v>0</v>
      </c>
      <c r="G25" s="56">
        <f>G23-G24</f>
        <v>0</v>
      </c>
      <c r="H25" s="51"/>
      <c r="I25" s="52"/>
    </row>
    <row r="26" spans="2:15" ht="16.5" thickTop="1" x14ac:dyDescent="0.25">
      <c r="B26" s="57" t="s">
        <v>191</v>
      </c>
      <c r="C26" s="58"/>
      <c r="D26" s="59">
        <f>SUM(D7,D11,D15,D19,D23)</f>
        <v>277556.27579799591</v>
      </c>
      <c r="E26" s="59">
        <f>E7+E11+E15+E19+E23</f>
        <v>982230</v>
      </c>
      <c r="F26" s="59">
        <f>SUM(F7,F11,F15,F19,F23)</f>
        <v>958471</v>
      </c>
      <c r="G26" s="59">
        <f>SUM(G7,G11,G15,G19,G23)</f>
        <v>392877.18000000005</v>
      </c>
      <c r="H26" s="51">
        <f t="shared" si="0"/>
        <v>141.54865670770641</v>
      </c>
      <c r="I26" s="52">
        <f t="shared" si="1"/>
        <v>40.989991350807699</v>
      </c>
    </row>
    <row r="27" spans="2:15" ht="15.75" x14ac:dyDescent="0.25">
      <c r="B27" s="46" t="s">
        <v>192</v>
      </c>
      <c r="C27" s="47"/>
      <c r="D27" s="50">
        <f>SUM(D8,D12,D16,D20)</f>
        <v>579999.33904041408</v>
      </c>
      <c r="E27" s="50">
        <f>E8+E12+E16+E20+E24</f>
        <v>1198569</v>
      </c>
      <c r="F27" s="50">
        <f>SUM(F8,F12,F16,F20,F24)</f>
        <v>1269946</v>
      </c>
      <c r="G27" s="50">
        <f>SUM(G8,G12,G16,G20)</f>
        <v>364854.12</v>
      </c>
      <c r="H27" s="51">
        <f t="shared" si="0"/>
        <v>62.905954445333798</v>
      </c>
      <c r="I27" s="52">
        <f t="shared" si="1"/>
        <v>28.729892452120009</v>
      </c>
    </row>
    <row r="28" spans="2:15" ht="15.75" x14ac:dyDescent="0.25">
      <c r="B28" s="60" t="s">
        <v>6</v>
      </c>
      <c r="C28" s="47"/>
      <c r="D28" s="50">
        <f>D26-D27</f>
        <v>-302443.06324241817</v>
      </c>
      <c r="E28" s="50">
        <f>E26-E27</f>
        <v>-216339</v>
      </c>
      <c r="F28" s="50">
        <f>F26-F27</f>
        <v>-311475</v>
      </c>
      <c r="G28" s="50">
        <f>G26-G27</f>
        <v>28023.060000000056</v>
      </c>
      <c r="H28" s="51"/>
      <c r="I28" s="52"/>
    </row>
    <row r="29" spans="2:15" ht="15.75" x14ac:dyDescent="0.25">
      <c r="B29" s="60" t="s">
        <v>193</v>
      </c>
      <c r="C29" s="47"/>
      <c r="D29" s="50">
        <f>3040556.11/7.5345</f>
        <v>403551.14606145059</v>
      </c>
      <c r="E29" s="50">
        <v>216339</v>
      </c>
      <c r="F29" s="50">
        <f>311475</f>
        <v>311475</v>
      </c>
      <c r="G29" s="50">
        <v>311475</v>
      </c>
      <c r="H29" s="51"/>
      <c r="I29" s="52"/>
    </row>
    <row r="30" spans="2:15" ht="15.75" x14ac:dyDescent="0.25">
      <c r="B30" s="60" t="s">
        <v>194</v>
      </c>
      <c r="C30" s="47"/>
      <c r="D30" s="50">
        <f>D26+D29</f>
        <v>681107.42185944645</v>
      </c>
      <c r="E30" s="50">
        <f>E26+E29</f>
        <v>1198569</v>
      </c>
      <c r="F30" s="50">
        <f>F26+F29</f>
        <v>1269946</v>
      </c>
      <c r="G30" s="50">
        <f>G26+G29</f>
        <v>704352.18</v>
      </c>
      <c r="H30" s="51">
        <f t="shared" si="0"/>
        <v>103.41278884865102</v>
      </c>
      <c r="I30" s="52">
        <f t="shared" si="1"/>
        <v>55.463159850891294</v>
      </c>
    </row>
    <row r="31" spans="2:15" ht="16.5" thickBot="1" x14ac:dyDescent="0.3">
      <c r="B31" s="61" t="s">
        <v>195</v>
      </c>
      <c r="C31" s="62"/>
      <c r="D31" s="63">
        <f>D30-D27</f>
        <v>101108.08281903237</v>
      </c>
      <c r="E31" s="63">
        <f>E30-E27</f>
        <v>0</v>
      </c>
      <c r="F31" s="63">
        <f>F30-F27</f>
        <v>0</v>
      </c>
      <c r="G31" s="63">
        <f>G30-G27</f>
        <v>339498.06000000006</v>
      </c>
      <c r="H31" s="51"/>
      <c r="I31" s="52"/>
      <c r="O31">
        <v>1</v>
      </c>
    </row>
  </sheetData>
  <mergeCells count="1">
    <mergeCell ref="B2:I2"/>
  </mergeCells>
  <pageMargins left="0.7" right="0.7" top="0.75" bottom="0.75" header="0.3" footer="0.3"/>
  <pageSetup paperSize="9" scale="44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62"/>
  <sheetViews>
    <sheetView topLeftCell="A208" workbookViewId="0">
      <selection activeCell="Q217" sqref="Q217"/>
    </sheetView>
  </sheetViews>
  <sheetFormatPr defaultRowHeight="15" x14ac:dyDescent="0.25"/>
  <cols>
    <col min="2" max="2" width="15.85546875" customWidth="1"/>
    <col min="3" max="3" width="7.85546875" customWidth="1"/>
    <col min="4" max="4" width="22.5703125" customWidth="1"/>
    <col min="5" max="8" width="15.7109375" customWidth="1"/>
    <col min="9" max="9" width="16.42578125" customWidth="1"/>
    <col min="10" max="10" width="0" hidden="1" customWidth="1"/>
    <col min="259" max="259" width="13.42578125" customWidth="1"/>
    <col min="260" max="260" width="7.85546875" customWidth="1"/>
    <col min="261" max="261" width="22.5703125" customWidth="1"/>
    <col min="262" max="265" width="15.7109375" customWidth="1"/>
    <col min="266" max="266" width="0" hidden="1" customWidth="1"/>
    <col min="515" max="515" width="13.42578125" customWidth="1"/>
    <col min="516" max="516" width="7.85546875" customWidth="1"/>
    <col min="517" max="517" width="22.5703125" customWidth="1"/>
    <col min="518" max="521" width="15.7109375" customWidth="1"/>
    <col min="522" max="522" width="0" hidden="1" customWidth="1"/>
    <col min="771" max="771" width="13.42578125" customWidth="1"/>
    <col min="772" max="772" width="7.85546875" customWidth="1"/>
    <col min="773" max="773" width="22.5703125" customWidth="1"/>
    <col min="774" max="777" width="15.7109375" customWidth="1"/>
    <col min="778" max="778" width="0" hidden="1" customWidth="1"/>
    <col min="1027" max="1027" width="13.42578125" customWidth="1"/>
    <col min="1028" max="1028" width="7.85546875" customWidth="1"/>
    <col min="1029" max="1029" width="22.5703125" customWidth="1"/>
    <col min="1030" max="1033" width="15.7109375" customWidth="1"/>
    <col min="1034" max="1034" width="0" hidden="1" customWidth="1"/>
    <col min="1283" max="1283" width="13.42578125" customWidth="1"/>
    <col min="1284" max="1284" width="7.85546875" customWidth="1"/>
    <col min="1285" max="1285" width="22.5703125" customWidth="1"/>
    <col min="1286" max="1289" width="15.7109375" customWidth="1"/>
    <col min="1290" max="1290" width="0" hidden="1" customWidth="1"/>
    <col min="1539" max="1539" width="13.42578125" customWidth="1"/>
    <col min="1540" max="1540" width="7.85546875" customWidth="1"/>
    <col min="1541" max="1541" width="22.5703125" customWidth="1"/>
    <col min="1542" max="1545" width="15.7109375" customWidth="1"/>
    <col min="1546" max="1546" width="0" hidden="1" customWidth="1"/>
    <col min="1795" max="1795" width="13.42578125" customWidth="1"/>
    <col min="1796" max="1796" width="7.85546875" customWidth="1"/>
    <col min="1797" max="1797" width="22.5703125" customWidth="1"/>
    <col min="1798" max="1801" width="15.7109375" customWidth="1"/>
    <col min="1802" max="1802" width="0" hidden="1" customWidth="1"/>
    <col min="2051" max="2051" width="13.42578125" customWidth="1"/>
    <col min="2052" max="2052" width="7.85546875" customWidth="1"/>
    <col min="2053" max="2053" width="22.5703125" customWidth="1"/>
    <col min="2054" max="2057" width="15.7109375" customWidth="1"/>
    <col min="2058" max="2058" width="0" hidden="1" customWidth="1"/>
    <col min="2307" max="2307" width="13.42578125" customWidth="1"/>
    <col min="2308" max="2308" width="7.85546875" customWidth="1"/>
    <col min="2309" max="2309" width="22.5703125" customWidth="1"/>
    <col min="2310" max="2313" width="15.7109375" customWidth="1"/>
    <col min="2314" max="2314" width="0" hidden="1" customWidth="1"/>
    <col min="2563" max="2563" width="13.42578125" customWidth="1"/>
    <col min="2564" max="2564" width="7.85546875" customWidth="1"/>
    <col min="2565" max="2565" width="22.5703125" customWidth="1"/>
    <col min="2566" max="2569" width="15.7109375" customWidth="1"/>
    <col min="2570" max="2570" width="0" hidden="1" customWidth="1"/>
    <col min="2819" max="2819" width="13.42578125" customWidth="1"/>
    <col min="2820" max="2820" width="7.85546875" customWidth="1"/>
    <col min="2821" max="2821" width="22.5703125" customWidth="1"/>
    <col min="2822" max="2825" width="15.7109375" customWidth="1"/>
    <col min="2826" max="2826" width="0" hidden="1" customWidth="1"/>
    <col min="3075" max="3075" width="13.42578125" customWidth="1"/>
    <col min="3076" max="3076" width="7.85546875" customWidth="1"/>
    <col min="3077" max="3077" width="22.5703125" customWidth="1"/>
    <col min="3078" max="3081" width="15.7109375" customWidth="1"/>
    <col min="3082" max="3082" width="0" hidden="1" customWidth="1"/>
    <col min="3331" max="3331" width="13.42578125" customWidth="1"/>
    <col min="3332" max="3332" width="7.85546875" customWidth="1"/>
    <col min="3333" max="3333" width="22.5703125" customWidth="1"/>
    <col min="3334" max="3337" width="15.7109375" customWidth="1"/>
    <col min="3338" max="3338" width="0" hidden="1" customWidth="1"/>
    <col min="3587" max="3587" width="13.42578125" customWidth="1"/>
    <col min="3588" max="3588" width="7.85546875" customWidth="1"/>
    <col min="3589" max="3589" width="22.5703125" customWidth="1"/>
    <col min="3590" max="3593" width="15.7109375" customWidth="1"/>
    <col min="3594" max="3594" width="0" hidden="1" customWidth="1"/>
    <col min="3843" max="3843" width="13.42578125" customWidth="1"/>
    <col min="3844" max="3844" width="7.85546875" customWidth="1"/>
    <col min="3845" max="3845" width="22.5703125" customWidth="1"/>
    <col min="3846" max="3849" width="15.7109375" customWidth="1"/>
    <col min="3850" max="3850" width="0" hidden="1" customWidth="1"/>
    <col min="4099" max="4099" width="13.42578125" customWidth="1"/>
    <col min="4100" max="4100" width="7.85546875" customWidth="1"/>
    <col min="4101" max="4101" width="22.5703125" customWidth="1"/>
    <col min="4102" max="4105" width="15.7109375" customWidth="1"/>
    <col min="4106" max="4106" width="0" hidden="1" customWidth="1"/>
    <col min="4355" max="4355" width="13.42578125" customWidth="1"/>
    <col min="4356" max="4356" width="7.85546875" customWidth="1"/>
    <col min="4357" max="4357" width="22.5703125" customWidth="1"/>
    <col min="4358" max="4361" width="15.7109375" customWidth="1"/>
    <col min="4362" max="4362" width="0" hidden="1" customWidth="1"/>
    <col min="4611" max="4611" width="13.42578125" customWidth="1"/>
    <col min="4612" max="4612" width="7.85546875" customWidth="1"/>
    <col min="4613" max="4613" width="22.5703125" customWidth="1"/>
    <col min="4614" max="4617" width="15.7109375" customWidth="1"/>
    <col min="4618" max="4618" width="0" hidden="1" customWidth="1"/>
    <col min="4867" max="4867" width="13.42578125" customWidth="1"/>
    <col min="4868" max="4868" width="7.85546875" customWidth="1"/>
    <col min="4869" max="4869" width="22.5703125" customWidth="1"/>
    <col min="4870" max="4873" width="15.7109375" customWidth="1"/>
    <col min="4874" max="4874" width="0" hidden="1" customWidth="1"/>
    <col min="5123" max="5123" width="13.42578125" customWidth="1"/>
    <col min="5124" max="5124" width="7.85546875" customWidth="1"/>
    <col min="5125" max="5125" width="22.5703125" customWidth="1"/>
    <col min="5126" max="5129" width="15.7109375" customWidth="1"/>
    <col min="5130" max="5130" width="0" hidden="1" customWidth="1"/>
    <col min="5379" max="5379" width="13.42578125" customWidth="1"/>
    <col min="5380" max="5380" width="7.85546875" customWidth="1"/>
    <col min="5381" max="5381" width="22.5703125" customWidth="1"/>
    <col min="5382" max="5385" width="15.7109375" customWidth="1"/>
    <col min="5386" max="5386" width="0" hidden="1" customWidth="1"/>
    <col min="5635" max="5635" width="13.42578125" customWidth="1"/>
    <col min="5636" max="5636" width="7.85546875" customWidth="1"/>
    <col min="5637" max="5637" width="22.5703125" customWidth="1"/>
    <col min="5638" max="5641" width="15.7109375" customWidth="1"/>
    <col min="5642" max="5642" width="0" hidden="1" customWidth="1"/>
    <col min="5891" max="5891" width="13.42578125" customWidth="1"/>
    <col min="5892" max="5892" width="7.85546875" customWidth="1"/>
    <col min="5893" max="5893" width="22.5703125" customWidth="1"/>
    <col min="5894" max="5897" width="15.7109375" customWidth="1"/>
    <col min="5898" max="5898" width="0" hidden="1" customWidth="1"/>
    <col min="6147" max="6147" width="13.42578125" customWidth="1"/>
    <col min="6148" max="6148" width="7.85546875" customWidth="1"/>
    <col min="6149" max="6149" width="22.5703125" customWidth="1"/>
    <col min="6150" max="6153" width="15.7109375" customWidth="1"/>
    <col min="6154" max="6154" width="0" hidden="1" customWidth="1"/>
    <col min="6403" max="6403" width="13.42578125" customWidth="1"/>
    <col min="6404" max="6404" width="7.85546875" customWidth="1"/>
    <col min="6405" max="6405" width="22.5703125" customWidth="1"/>
    <col min="6406" max="6409" width="15.7109375" customWidth="1"/>
    <col min="6410" max="6410" width="0" hidden="1" customWidth="1"/>
    <col min="6659" max="6659" width="13.42578125" customWidth="1"/>
    <col min="6660" max="6660" width="7.85546875" customWidth="1"/>
    <col min="6661" max="6661" width="22.5703125" customWidth="1"/>
    <col min="6662" max="6665" width="15.7109375" customWidth="1"/>
    <col min="6666" max="6666" width="0" hidden="1" customWidth="1"/>
    <col min="6915" max="6915" width="13.42578125" customWidth="1"/>
    <col min="6916" max="6916" width="7.85546875" customWidth="1"/>
    <col min="6917" max="6917" width="22.5703125" customWidth="1"/>
    <col min="6918" max="6921" width="15.7109375" customWidth="1"/>
    <col min="6922" max="6922" width="0" hidden="1" customWidth="1"/>
    <col min="7171" max="7171" width="13.42578125" customWidth="1"/>
    <col min="7172" max="7172" width="7.85546875" customWidth="1"/>
    <col min="7173" max="7173" width="22.5703125" customWidth="1"/>
    <col min="7174" max="7177" width="15.7109375" customWidth="1"/>
    <col min="7178" max="7178" width="0" hidden="1" customWidth="1"/>
    <col min="7427" max="7427" width="13.42578125" customWidth="1"/>
    <col min="7428" max="7428" width="7.85546875" customWidth="1"/>
    <col min="7429" max="7429" width="22.5703125" customWidth="1"/>
    <col min="7430" max="7433" width="15.7109375" customWidth="1"/>
    <col min="7434" max="7434" width="0" hidden="1" customWidth="1"/>
    <col min="7683" max="7683" width="13.42578125" customWidth="1"/>
    <col min="7684" max="7684" width="7.85546875" customWidth="1"/>
    <col min="7685" max="7685" width="22.5703125" customWidth="1"/>
    <col min="7686" max="7689" width="15.7109375" customWidth="1"/>
    <col min="7690" max="7690" width="0" hidden="1" customWidth="1"/>
    <col min="7939" max="7939" width="13.42578125" customWidth="1"/>
    <col min="7940" max="7940" width="7.85546875" customWidth="1"/>
    <col min="7941" max="7941" width="22.5703125" customWidth="1"/>
    <col min="7942" max="7945" width="15.7109375" customWidth="1"/>
    <col min="7946" max="7946" width="0" hidden="1" customWidth="1"/>
    <col min="8195" max="8195" width="13.42578125" customWidth="1"/>
    <col min="8196" max="8196" width="7.85546875" customWidth="1"/>
    <col min="8197" max="8197" width="22.5703125" customWidth="1"/>
    <col min="8198" max="8201" width="15.7109375" customWidth="1"/>
    <col min="8202" max="8202" width="0" hidden="1" customWidth="1"/>
    <col min="8451" max="8451" width="13.42578125" customWidth="1"/>
    <col min="8452" max="8452" width="7.85546875" customWidth="1"/>
    <col min="8453" max="8453" width="22.5703125" customWidth="1"/>
    <col min="8454" max="8457" width="15.7109375" customWidth="1"/>
    <col min="8458" max="8458" width="0" hidden="1" customWidth="1"/>
    <col min="8707" max="8707" width="13.42578125" customWidth="1"/>
    <col min="8708" max="8708" width="7.85546875" customWidth="1"/>
    <col min="8709" max="8709" width="22.5703125" customWidth="1"/>
    <col min="8710" max="8713" width="15.7109375" customWidth="1"/>
    <col min="8714" max="8714" width="0" hidden="1" customWidth="1"/>
    <col min="8963" max="8963" width="13.42578125" customWidth="1"/>
    <col min="8964" max="8964" width="7.85546875" customWidth="1"/>
    <col min="8965" max="8965" width="22.5703125" customWidth="1"/>
    <col min="8966" max="8969" width="15.7109375" customWidth="1"/>
    <col min="8970" max="8970" width="0" hidden="1" customWidth="1"/>
    <col min="9219" max="9219" width="13.42578125" customWidth="1"/>
    <col min="9220" max="9220" width="7.85546875" customWidth="1"/>
    <col min="9221" max="9221" width="22.5703125" customWidth="1"/>
    <col min="9222" max="9225" width="15.7109375" customWidth="1"/>
    <col min="9226" max="9226" width="0" hidden="1" customWidth="1"/>
    <col min="9475" max="9475" width="13.42578125" customWidth="1"/>
    <col min="9476" max="9476" width="7.85546875" customWidth="1"/>
    <col min="9477" max="9477" width="22.5703125" customWidth="1"/>
    <col min="9478" max="9481" width="15.7109375" customWidth="1"/>
    <col min="9482" max="9482" width="0" hidden="1" customWidth="1"/>
    <col min="9731" max="9731" width="13.42578125" customWidth="1"/>
    <col min="9732" max="9732" width="7.85546875" customWidth="1"/>
    <col min="9733" max="9733" width="22.5703125" customWidth="1"/>
    <col min="9734" max="9737" width="15.7109375" customWidth="1"/>
    <col min="9738" max="9738" width="0" hidden="1" customWidth="1"/>
    <col min="9987" max="9987" width="13.42578125" customWidth="1"/>
    <col min="9988" max="9988" width="7.85546875" customWidth="1"/>
    <col min="9989" max="9989" width="22.5703125" customWidth="1"/>
    <col min="9990" max="9993" width="15.7109375" customWidth="1"/>
    <col min="9994" max="9994" width="0" hidden="1" customWidth="1"/>
    <col min="10243" max="10243" width="13.42578125" customWidth="1"/>
    <col min="10244" max="10244" width="7.85546875" customWidth="1"/>
    <col min="10245" max="10245" width="22.5703125" customWidth="1"/>
    <col min="10246" max="10249" width="15.7109375" customWidth="1"/>
    <col min="10250" max="10250" width="0" hidden="1" customWidth="1"/>
    <col min="10499" max="10499" width="13.42578125" customWidth="1"/>
    <col min="10500" max="10500" width="7.85546875" customWidth="1"/>
    <col min="10501" max="10501" width="22.5703125" customWidth="1"/>
    <col min="10502" max="10505" width="15.7109375" customWidth="1"/>
    <col min="10506" max="10506" width="0" hidden="1" customWidth="1"/>
    <col min="10755" max="10755" width="13.42578125" customWidth="1"/>
    <col min="10756" max="10756" width="7.85546875" customWidth="1"/>
    <col min="10757" max="10757" width="22.5703125" customWidth="1"/>
    <col min="10758" max="10761" width="15.7109375" customWidth="1"/>
    <col min="10762" max="10762" width="0" hidden="1" customWidth="1"/>
    <col min="11011" max="11011" width="13.42578125" customWidth="1"/>
    <col min="11012" max="11012" width="7.85546875" customWidth="1"/>
    <col min="11013" max="11013" width="22.5703125" customWidth="1"/>
    <col min="11014" max="11017" width="15.7109375" customWidth="1"/>
    <col min="11018" max="11018" width="0" hidden="1" customWidth="1"/>
    <col min="11267" max="11267" width="13.42578125" customWidth="1"/>
    <col min="11268" max="11268" width="7.85546875" customWidth="1"/>
    <col min="11269" max="11269" width="22.5703125" customWidth="1"/>
    <col min="11270" max="11273" width="15.7109375" customWidth="1"/>
    <col min="11274" max="11274" width="0" hidden="1" customWidth="1"/>
    <col min="11523" max="11523" width="13.42578125" customWidth="1"/>
    <col min="11524" max="11524" width="7.85546875" customWidth="1"/>
    <col min="11525" max="11525" width="22.5703125" customWidth="1"/>
    <col min="11526" max="11529" width="15.7109375" customWidth="1"/>
    <col min="11530" max="11530" width="0" hidden="1" customWidth="1"/>
    <col min="11779" max="11779" width="13.42578125" customWidth="1"/>
    <col min="11780" max="11780" width="7.85546875" customWidth="1"/>
    <col min="11781" max="11781" width="22.5703125" customWidth="1"/>
    <col min="11782" max="11785" width="15.7109375" customWidth="1"/>
    <col min="11786" max="11786" width="0" hidden="1" customWidth="1"/>
    <col min="12035" max="12035" width="13.42578125" customWidth="1"/>
    <col min="12036" max="12036" width="7.85546875" customWidth="1"/>
    <col min="12037" max="12037" width="22.5703125" customWidth="1"/>
    <col min="12038" max="12041" width="15.7109375" customWidth="1"/>
    <col min="12042" max="12042" width="0" hidden="1" customWidth="1"/>
    <col min="12291" max="12291" width="13.42578125" customWidth="1"/>
    <col min="12292" max="12292" width="7.85546875" customWidth="1"/>
    <col min="12293" max="12293" width="22.5703125" customWidth="1"/>
    <col min="12294" max="12297" width="15.7109375" customWidth="1"/>
    <col min="12298" max="12298" width="0" hidden="1" customWidth="1"/>
    <col min="12547" max="12547" width="13.42578125" customWidth="1"/>
    <col min="12548" max="12548" width="7.85546875" customWidth="1"/>
    <col min="12549" max="12549" width="22.5703125" customWidth="1"/>
    <col min="12550" max="12553" width="15.7109375" customWidth="1"/>
    <col min="12554" max="12554" width="0" hidden="1" customWidth="1"/>
    <col min="12803" max="12803" width="13.42578125" customWidth="1"/>
    <col min="12804" max="12804" width="7.85546875" customWidth="1"/>
    <col min="12805" max="12805" width="22.5703125" customWidth="1"/>
    <col min="12806" max="12809" width="15.7109375" customWidth="1"/>
    <col min="12810" max="12810" width="0" hidden="1" customWidth="1"/>
    <col min="13059" max="13059" width="13.42578125" customWidth="1"/>
    <col min="13060" max="13060" width="7.85546875" customWidth="1"/>
    <col min="13061" max="13061" width="22.5703125" customWidth="1"/>
    <col min="13062" max="13065" width="15.7109375" customWidth="1"/>
    <col min="13066" max="13066" width="0" hidden="1" customWidth="1"/>
    <col min="13315" max="13315" width="13.42578125" customWidth="1"/>
    <col min="13316" max="13316" width="7.85546875" customWidth="1"/>
    <col min="13317" max="13317" width="22.5703125" customWidth="1"/>
    <col min="13318" max="13321" width="15.7109375" customWidth="1"/>
    <col min="13322" max="13322" width="0" hidden="1" customWidth="1"/>
    <col min="13571" max="13571" width="13.42578125" customWidth="1"/>
    <col min="13572" max="13572" width="7.85546875" customWidth="1"/>
    <col min="13573" max="13573" width="22.5703125" customWidth="1"/>
    <col min="13574" max="13577" width="15.7109375" customWidth="1"/>
    <col min="13578" max="13578" width="0" hidden="1" customWidth="1"/>
    <col min="13827" max="13827" width="13.42578125" customWidth="1"/>
    <col min="13828" max="13828" width="7.85546875" customWidth="1"/>
    <col min="13829" max="13829" width="22.5703125" customWidth="1"/>
    <col min="13830" max="13833" width="15.7109375" customWidth="1"/>
    <col min="13834" max="13834" width="0" hidden="1" customWidth="1"/>
    <col min="14083" max="14083" width="13.42578125" customWidth="1"/>
    <col min="14084" max="14084" width="7.85546875" customWidth="1"/>
    <col min="14085" max="14085" width="22.5703125" customWidth="1"/>
    <col min="14086" max="14089" width="15.7109375" customWidth="1"/>
    <col min="14090" max="14090" width="0" hidden="1" customWidth="1"/>
    <col min="14339" max="14339" width="13.42578125" customWidth="1"/>
    <col min="14340" max="14340" width="7.85546875" customWidth="1"/>
    <col min="14341" max="14341" width="22.5703125" customWidth="1"/>
    <col min="14342" max="14345" width="15.7109375" customWidth="1"/>
    <col min="14346" max="14346" width="0" hidden="1" customWidth="1"/>
    <col min="14595" max="14595" width="13.42578125" customWidth="1"/>
    <col min="14596" max="14596" width="7.85546875" customWidth="1"/>
    <col min="14597" max="14597" width="22.5703125" customWidth="1"/>
    <col min="14598" max="14601" width="15.7109375" customWidth="1"/>
    <col min="14602" max="14602" width="0" hidden="1" customWidth="1"/>
    <col min="14851" max="14851" width="13.42578125" customWidth="1"/>
    <col min="14852" max="14852" width="7.85546875" customWidth="1"/>
    <col min="14853" max="14853" width="22.5703125" customWidth="1"/>
    <col min="14854" max="14857" width="15.7109375" customWidth="1"/>
    <col min="14858" max="14858" width="0" hidden="1" customWidth="1"/>
    <col min="15107" max="15107" width="13.42578125" customWidth="1"/>
    <col min="15108" max="15108" width="7.85546875" customWidth="1"/>
    <col min="15109" max="15109" width="22.5703125" customWidth="1"/>
    <col min="15110" max="15113" width="15.7109375" customWidth="1"/>
    <col min="15114" max="15114" width="0" hidden="1" customWidth="1"/>
    <col min="15363" max="15363" width="13.42578125" customWidth="1"/>
    <col min="15364" max="15364" width="7.85546875" customWidth="1"/>
    <col min="15365" max="15365" width="22.5703125" customWidth="1"/>
    <col min="15366" max="15369" width="15.7109375" customWidth="1"/>
    <col min="15370" max="15370" width="0" hidden="1" customWidth="1"/>
    <col min="15619" max="15619" width="13.42578125" customWidth="1"/>
    <col min="15620" max="15620" width="7.85546875" customWidth="1"/>
    <col min="15621" max="15621" width="22.5703125" customWidth="1"/>
    <col min="15622" max="15625" width="15.7109375" customWidth="1"/>
    <col min="15626" max="15626" width="0" hidden="1" customWidth="1"/>
    <col min="15875" max="15875" width="13.42578125" customWidth="1"/>
    <col min="15876" max="15876" width="7.85546875" customWidth="1"/>
    <col min="15877" max="15877" width="22.5703125" customWidth="1"/>
    <col min="15878" max="15881" width="15.7109375" customWidth="1"/>
    <col min="15882" max="15882" width="0" hidden="1" customWidth="1"/>
    <col min="16131" max="16131" width="13.42578125" customWidth="1"/>
    <col min="16132" max="16132" width="7.85546875" customWidth="1"/>
    <col min="16133" max="16133" width="22.5703125" customWidth="1"/>
    <col min="16134" max="16137" width="15.7109375" customWidth="1"/>
    <col min="16138" max="16138" width="0" hidden="1" customWidth="1"/>
  </cols>
  <sheetData>
    <row r="1" spans="2:15" ht="15.75" thickBot="1" x14ac:dyDescent="0.3"/>
    <row r="2" spans="2:15" ht="72" customHeight="1" x14ac:dyDescent="0.25">
      <c r="B2" s="188" t="s">
        <v>316</v>
      </c>
      <c r="C2" s="189"/>
      <c r="D2" s="189"/>
      <c r="E2" s="189"/>
      <c r="F2" s="189"/>
      <c r="G2" s="189"/>
      <c r="H2" s="189"/>
      <c r="I2" s="190"/>
    </row>
    <row r="3" spans="2:15" ht="1.7" customHeight="1" x14ac:dyDescent="0.25">
      <c r="B3" s="81"/>
      <c r="C3" s="82"/>
      <c r="D3" s="82"/>
      <c r="E3" s="82"/>
      <c r="F3" s="82"/>
      <c r="G3" s="82"/>
      <c r="H3" s="82"/>
      <c r="I3" s="83"/>
    </row>
    <row r="4" spans="2:15" x14ac:dyDescent="0.25">
      <c r="B4" s="84" t="s">
        <v>210</v>
      </c>
      <c r="C4" s="85" t="s">
        <v>13</v>
      </c>
      <c r="D4" s="85" t="s">
        <v>0</v>
      </c>
      <c r="E4" s="85" t="s">
        <v>211</v>
      </c>
      <c r="F4" s="85" t="s">
        <v>325</v>
      </c>
      <c r="G4" s="85" t="s">
        <v>361</v>
      </c>
      <c r="H4" s="85" t="s">
        <v>317</v>
      </c>
      <c r="I4" s="86" t="s">
        <v>363</v>
      </c>
    </row>
    <row r="5" spans="2:15" x14ac:dyDescent="0.25">
      <c r="B5" s="101">
        <v>1</v>
      </c>
      <c r="C5" s="102">
        <v>2</v>
      </c>
      <c r="D5" s="102">
        <v>3</v>
      </c>
      <c r="E5" s="102">
        <v>4</v>
      </c>
      <c r="F5" s="102">
        <v>5</v>
      </c>
      <c r="G5" s="102">
        <v>6</v>
      </c>
      <c r="H5" s="102">
        <v>7</v>
      </c>
      <c r="I5" s="103">
        <v>8</v>
      </c>
    </row>
    <row r="6" spans="2:15" x14ac:dyDescent="0.25">
      <c r="B6" s="101"/>
      <c r="C6" s="102"/>
      <c r="D6" s="102"/>
      <c r="E6" s="102"/>
      <c r="F6" s="102"/>
      <c r="G6" s="102"/>
      <c r="H6" s="102"/>
      <c r="I6" s="103"/>
    </row>
    <row r="7" spans="2:15" ht="35.1" customHeight="1" x14ac:dyDescent="0.25">
      <c r="B7" s="87" t="s">
        <v>212</v>
      </c>
      <c r="C7" s="186" t="s">
        <v>213</v>
      </c>
      <c r="D7" s="191"/>
      <c r="E7" s="88"/>
      <c r="F7" s="152">
        <v>1198569</v>
      </c>
      <c r="G7" s="89">
        <f>G8</f>
        <v>1269946</v>
      </c>
      <c r="H7" s="89">
        <f>H8</f>
        <v>364854.11999999994</v>
      </c>
      <c r="I7" s="90">
        <f>H7/G7*100</f>
        <v>28.729892452120005</v>
      </c>
    </row>
    <row r="8" spans="2:15" ht="55.5" customHeight="1" x14ac:dyDescent="0.25">
      <c r="B8" s="87" t="s">
        <v>214</v>
      </c>
      <c r="C8" s="186" t="s">
        <v>215</v>
      </c>
      <c r="D8" s="191"/>
      <c r="E8" s="88"/>
      <c r="F8" s="152">
        <v>1198569</v>
      </c>
      <c r="G8" s="89">
        <f>G9+G114+G106+G179+G240</f>
        <v>1269946</v>
      </c>
      <c r="H8" s="89">
        <f>H9+H106+H114+H179+H241</f>
        <v>364854.11999999994</v>
      </c>
      <c r="I8" s="90">
        <f t="shared" ref="I8:I69" si="0">H8/G8*100</f>
        <v>28.729892452120005</v>
      </c>
    </row>
    <row r="9" spans="2:15" ht="35.1" customHeight="1" x14ac:dyDescent="0.25">
      <c r="B9" s="87" t="s">
        <v>216</v>
      </c>
      <c r="C9" s="186" t="s">
        <v>217</v>
      </c>
      <c r="D9" s="191"/>
      <c r="E9" s="88"/>
      <c r="F9" s="152">
        <v>976659</v>
      </c>
      <c r="G9" s="89">
        <f>G10+G28+G74+G86+G98</f>
        <v>981286.24</v>
      </c>
      <c r="H9" s="89">
        <f>H10+H28+H74+H86</f>
        <v>301380.20999999996</v>
      </c>
      <c r="I9" s="90">
        <f t="shared" si="0"/>
        <v>30.712772452612803</v>
      </c>
      <c r="O9" s="1"/>
    </row>
    <row r="10" spans="2:15" ht="35.1" customHeight="1" x14ac:dyDescent="0.25">
      <c r="B10" s="87" t="s">
        <v>218</v>
      </c>
      <c r="C10" s="186" t="s">
        <v>219</v>
      </c>
      <c r="D10" s="192"/>
      <c r="E10" s="88"/>
      <c r="F10" s="152">
        <v>345979</v>
      </c>
      <c r="G10" s="89">
        <f>G11</f>
        <v>362102.99999999994</v>
      </c>
      <c r="H10" s="89">
        <f>H11</f>
        <v>172005.87999999998</v>
      </c>
      <c r="I10" s="90">
        <f t="shared" si="0"/>
        <v>47.501920724213832</v>
      </c>
    </row>
    <row r="11" spans="2:15" ht="35.1" customHeight="1" x14ac:dyDescent="0.25">
      <c r="B11" s="91"/>
      <c r="C11" s="92" t="s">
        <v>46</v>
      </c>
      <c r="D11" s="92" t="s">
        <v>47</v>
      </c>
      <c r="E11" s="93"/>
      <c r="F11" s="153">
        <v>345979</v>
      </c>
      <c r="G11" s="94">
        <f>G12+G24</f>
        <v>362102.99999999994</v>
      </c>
      <c r="H11" s="94">
        <f>H12+H24</f>
        <v>172005.87999999998</v>
      </c>
      <c r="I11" s="90">
        <f t="shared" si="0"/>
        <v>47.501920724213832</v>
      </c>
    </row>
    <row r="12" spans="2:15" ht="35.1" customHeight="1" x14ac:dyDescent="0.25">
      <c r="B12" s="91"/>
      <c r="C12" s="92" t="s">
        <v>48</v>
      </c>
      <c r="D12" s="92" t="s">
        <v>49</v>
      </c>
      <c r="E12" s="93"/>
      <c r="F12" s="153">
        <v>337763</v>
      </c>
      <c r="G12" s="94">
        <f>G13+G18+G21</f>
        <v>353886.99999999994</v>
      </c>
      <c r="H12" s="94">
        <f>H13+H18+H21</f>
        <v>168186.19999999998</v>
      </c>
      <c r="I12" s="90">
        <f t="shared" si="0"/>
        <v>47.525396524879412</v>
      </c>
    </row>
    <row r="13" spans="2:15" ht="35.1" customHeight="1" x14ac:dyDescent="0.25">
      <c r="B13" s="91"/>
      <c r="C13" s="92" t="s">
        <v>50</v>
      </c>
      <c r="D13" s="92" t="s">
        <v>51</v>
      </c>
      <c r="E13" s="93"/>
      <c r="F13" s="153"/>
      <c r="G13" s="94">
        <f>SUM(G14:G17)</f>
        <v>286177.57999999996</v>
      </c>
      <c r="H13" s="94">
        <f>SUM(H14:H17)</f>
        <v>127562.34999999999</v>
      </c>
      <c r="I13" s="90"/>
    </row>
    <row r="14" spans="2:15" ht="35.1" customHeight="1" x14ac:dyDescent="0.25">
      <c r="B14" s="16"/>
      <c r="C14" s="15" t="s">
        <v>91</v>
      </c>
      <c r="D14" s="15" t="s">
        <v>90</v>
      </c>
      <c r="E14" s="95" t="s">
        <v>220</v>
      </c>
      <c r="F14" s="154"/>
      <c r="G14" s="96">
        <v>54552.9</v>
      </c>
      <c r="H14" s="96">
        <v>19131.759999999998</v>
      </c>
      <c r="I14" s="148"/>
    </row>
    <row r="15" spans="2:15" ht="35.1" customHeight="1" x14ac:dyDescent="0.25">
      <c r="B15" s="16"/>
      <c r="C15" s="15" t="s">
        <v>91</v>
      </c>
      <c r="D15" s="15" t="s">
        <v>90</v>
      </c>
      <c r="E15" s="95" t="s">
        <v>221</v>
      </c>
      <c r="F15" s="154"/>
      <c r="G15" s="96">
        <v>225652.15</v>
      </c>
      <c r="H15" s="96">
        <v>106010.47</v>
      </c>
      <c r="I15" s="148"/>
    </row>
    <row r="16" spans="2:15" ht="35.1" customHeight="1" x14ac:dyDescent="0.25">
      <c r="B16" s="16"/>
      <c r="C16" s="15" t="s">
        <v>92</v>
      </c>
      <c r="D16" s="15" t="s">
        <v>93</v>
      </c>
      <c r="E16" s="95" t="s">
        <v>220</v>
      </c>
      <c r="F16" s="154"/>
      <c r="G16" s="96">
        <v>1327.23</v>
      </c>
      <c r="H16" s="96">
        <v>0</v>
      </c>
      <c r="I16" s="148"/>
    </row>
    <row r="17" spans="2:13" ht="35.1" customHeight="1" x14ac:dyDescent="0.25">
      <c r="B17" s="16"/>
      <c r="C17" s="15" t="s">
        <v>92</v>
      </c>
      <c r="D17" s="15" t="s">
        <v>93</v>
      </c>
      <c r="E17" s="95" t="s">
        <v>221</v>
      </c>
      <c r="F17" s="154"/>
      <c r="G17" s="96">
        <v>4645.3</v>
      </c>
      <c r="H17" s="96">
        <v>2420.12</v>
      </c>
      <c r="I17" s="148"/>
    </row>
    <row r="18" spans="2:13" ht="35.1" customHeight="1" x14ac:dyDescent="0.25">
      <c r="B18" s="91"/>
      <c r="C18" s="92" t="s">
        <v>52</v>
      </c>
      <c r="D18" s="92" t="s">
        <v>53</v>
      </c>
      <c r="E18" s="93"/>
      <c r="F18" s="153"/>
      <c r="G18" s="94">
        <f>G19+G20</f>
        <v>24129</v>
      </c>
      <c r="H18" s="94">
        <f>SUM(H19:H20)</f>
        <v>19576.07</v>
      </c>
      <c r="I18" s="90"/>
    </row>
    <row r="19" spans="2:13" ht="35.1" customHeight="1" x14ac:dyDescent="0.25">
      <c r="B19" s="16"/>
      <c r="C19" s="15" t="s">
        <v>94</v>
      </c>
      <c r="D19" s="15" t="s">
        <v>53</v>
      </c>
      <c r="E19" s="95" t="s">
        <v>220</v>
      </c>
      <c r="F19" s="154"/>
      <c r="G19" s="96">
        <v>10538.18</v>
      </c>
      <c r="H19" s="96">
        <v>7466.72</v>
      </c>
      <c r="I19" s="148"/>
    </row>
    <row r="20" spans="2:13" ht="35.1" customHeight="1" x14ac:dyDescent="0.25">
      <c r="B20" s="16"/>
      <c r="C20" s="15" t="s">
        <v>94</v>
      </c>
      <c r="D20" s="15" t="s">
        <v>53</v>
      </c>
      <c r="E20" s="95" t="s">
        <v>221</v>
      </c>
      <c r="F20" s="154"/>
      <c r="G20" s="96">
        <v>13590.82</v>
      </c>
      <c r="H20" s="96">
        <v>12109.35</v>
      </c>
      <c r="I20" s="148"/>
    </row>
    <row r="21" spans="2:13" ht="35.1" customHeight="1" x14ac:dyDescent="0.25">
      <c r="B21" s="91"/>
      <c r="C21" s="92" t="s">
        <v>54</v>
      </c>
      <c r="D21" s="92" t="s">
        <v>55</v>
      </c>
      <c r="E21" s="93"/>
      <c r="F21" s="153"/>
      <c r="G21" s="94">
        <f>G22+G23</f>
        <v>43580.42</v>
      </c>
      <c r="H21" s="94">
        <f>SUM(H22:H23)</f>
        <v>21047.78</v>
      </c>
      <c r="I21" s="90"/>
    </row>
    <row r="22" spans="2:13" ht="35.1" customHeight="1" x14ac:dyDescent="0.25">
      <c r="B22" s="16"/>
      <c r="C22" s="15" t="s">
        <v>95</v>
      </c>
      <c r="D22" s="15" t="s">
        <v>96</v>
      </c>
      <c r="E22" s="95" t="s">
        <v>220</v>
      </c>
      <c r="F22" s="154"/>
      <c r="G22" s="96">
        <v>6892.16</v>
      </c>
      <c r="H22" s="96">
        <v>3156.74</v>
      </c>
      <c r="I22" s="148"/>
    </row>
    <row r="23" spans="2:13" ht="35.1" customHeight="1" x14ac:dyDescent="0.25">
      <c r="B23" s="16"/>
      <c r="C23" s="15" t="s">
        <v>95</v>
      </c>
      <c r="D23" s="15" t="s">
        <v>222</v>
      </c>
      <c r="E23" s="95" t="s">
        <v>221</v>
      </c>
      <c r="F23" s="154"/>
      <c r="G23" s="96">
        <v>36688.26</v>
      </c>
      <c r="H23" s="96">
        <v>17891.04</v>
      </c>
      <c r="I23" s="148"/>
    </row>
    <row r="24" spans="2:13" ht="35.1" customHeight="1" x14ac:dyDescent="0.25">
      <c r="B24" s="91"/>
      <c r="C24" s="92" t="s">
        <v>56</v>
      </c>
      <c r="D24" s="92" t="s">
        <v>57</v>
      </c>
      <c r="E24" s="93"/>
      <c r="F24" s="153">
        <v>8216</v>
      </c>
      <c r="G24" s="94">
        <f>G25</f>
        <v>8216</v>
      </c>
      <c r="H24" s="94">
        <f>H25</f>
        <v>3819.68</v>
      </c>
      <c r="I24" s="90">
        <f t="shared" si="0"/>
        <v>46.490749756572541</v>
      </c>
    </row>
    <row r="25" spans="2:13" ht="35.1" customHeight="1" x14ac:dyDescent="0.25">
      <c r="B25" s="91"/>
      <c r="C25" s="92" t="s">
        <v>58</v>
      </c>
      <c r="D25" s="92" t="s">
        <v>59</v>
      </c>
      <c r="E25" s="93"/>
      <c r="F25" s="153"/>
      <c r="G25" s="94">
        <f>G26+G27</f>
        <v>8216</v>
      </c>
      <c r="H25" s="94">
        <f>H26+H27</f>
        <v>3819.68</v>
      </c>
      <c r="I25" s="90"/>
    </row>
    <row r="26" spans="2:13" ht="35.1" customHeight="1" x14ac:dyDescent="0.25">
      <c r="B26" s="16"/>
      <c r="C26" s="15" t="s">
        <v>99</v>
      </c>
      <c r="D26" s="15" t="s">
        <v>223</v>
      </c>
      <c r="E26" s="95" t="s">
        <v>221</v>
      </c>
      <c r="F26" s="154"/>
      <c r="G26" s="96">
        <v>7432.48</v>
      </c>
      <c r="H26" s="96">
        <v>3600.08</v>
      </c>
      <c r="I26" s="148"/>
    </row>
    <row r="27" spans="2:13" ht="35.1" customHeight="1" x14ac:dyDescent="0.25">
      <c r="B27" s="16"/>
      <c r="C27" s="15" t="s">
        <v>99</v>
      </c>
      <c r="D27" s="15" t="s">
        <v>100</v>
      </c>
      <c r="E27" s="95" t="s">
        <v>220</v>
      </c>
      <c r="F27" s="154"/>
      <c r="G27" s="96">
        <v>783.52</v>
      </c>
      <c r="H27" s="96">
        <v>219.6</v>
      </c>
      <c r="I27" s="148"/>
      <c r="M27">
        <v>1</v>
      </c>
    </row>
    <row r="28" spans="2:13" ht="35.1" customHeight="1" x14ac:dyDescent="0.25">
      <c r="B28" s="87" t="s">
        <v>224</v>
      </c>
      <c r="C28" s="186" t="s">
        <v>225</v>
      </c>
      <c r="D28" s="192"/>
      <c r="E28" s="88"/>
      <c r="F28" s="152">
        <v>211825</v>
      </c>
      <c r="G28" s="89">
        <f>G29</f>
        <v>220025</v>
      </c>
      <c r="H28" s="89">
        <f>H29</f>
        <v>116844.42</v>
      </c>
      <c r="I28" s="90">
        <f t="shared" si="0"/>
        <v>53.105065333484838</v>
      </c>
    </row>
    <row r="29" spans="2:13" ht="35.1" customHeight="1" x14ac:dyDescent="0.25">
      <c r="B29" s="91"/>
      <c r="C29" s="92" t="s">
        <v>46</v>
      </c>
      <c r="D29" s="92" t="s">
        <v>47</v>
      </c>
      <c r="E29" s="93"/>
      <c r="F29" s="153">
        <v>211825</v>
      </c>
      <c r="G29" s="94">
        <f>G69+G30</f>
        <v>220025</v>
      </c>
      <c r="H29" s="94">
        <f>H30+H69</f>
        <v>116844.42</v>
      </c>
      <c r="I29" s="90">
        <f t="shared" si="0"/>
        <v>53.105065333484838</v>
      </c>
    </row>
    <row r="30" spans="2:13" ht="35.1" customHeight="1" x14ac:dyDescent="0.25">
      <c r="B30" s="91"/>
      <c r="C30" s="92" t="s">
        <v>56</v>
      </c>
      <c r="D30" s="92" t="s">
        <v>57</v>
      </c>
      <c r="E30" s="93"/>
      <c r="F30" s="153">
        <v>202508</v>
      </c>
      <c r="G30" s="94">
        <f>G31+G35+G45+G59+G61</f>
        <v>210708</v>
      </c>
      <c r="H30" s="94">
        <f>H31+H35+H45+H59+H61</f>
        <v>113636.14</v>
      </c>
      <c r="I30" s="90">
        <f t="shared" si="0"/>
        <v>53.930624371167681</v>
      </c>
    </row>
    <row r="31" spans="2:13" ht="35.1" customHeight="1" x14ac:dyDescent="0.25">
      <c r="B31" s="91"/>
      <c r="C31" s="92" t="s">
        <v>58</v>
      </c>
      <c r="D31" s="92" t="s">
        <v>59</v>
      </c>
      <c r="E31" s="93"/>
      <c r="F31" s="153"/>
      <c r="G31" s="94">
        <f>SUM(G32:G34)</f>
        <v>3450.4700000000003</v>
      </c>
      <c r="H31" s="94">
        <f>SUM(H32:H34)</f>
        <v>1160.53</v>
      </c>
      <c r="I31" s="90"/>
    </row>
    <row r="32" spans="2:13" ht="35.1" customHeight="1" x14ac:dyDescent="0.25">
      <c r="B32" s="16"/>
      <c r="C32" s="15" t="s">
        <v>97</v>
      </c>
      <c r="D32" s="15" t="s">
        <v>98</v>
      </c>
      <c r="E32" s="95" t="s">
        <v>220</v>
      </c>
      <c r="F32" s="154"/>
      <c r="G32" s="96">
        <v>2654.59</v>
      </c>
      <c r="H32" s="96">
        <v>583.37</v>
      </c>
      <c r="I32" s="148"/>
    </row>
    <row r="33" spans="2:9" ht="35.1" customHeight="1" x14ac:dyDescent="0.25">
      <c r="B33" s="16"/>
      <c r="C33" s="15" t="s">
        <v>101</v>
      </c>
      <c r="D33" s="15" t="s">
        <v>102</v>
      </c>
      <c r="E33" s="95" t="s">
        <v>220</v>
      </c>
      <c r="F33" s="154"/>
      <c r="G33" s="96">
        <v>397.71</v>
      </c>
      <c r="H33" s="96">
        <v>214.36</v>
      </c>
      <c r="I33" s="148"/>
    </row>
    <row r="34" spans="2:9" ht="35.1" customHeight="1" x14ac:dyDescent="0.25">
      <c r="B34" s="16"/>
      <c r="C34" s="15" t="s">
        <v>103</v>
      </c>
      <c r="D34" s="15" t="s">
        <v>104</v>
      </c>
      <c r="E34" s="95" t="s">
        <v>220</v>
      </c>
      <c r="F34" s="154"/>
      <c r="G34" s="96">
        <v>398.17</v>
      </c>
      <c r="H34" s="96">
        <v>362.8</v>
      </c>
      <c r="I34" s="148"/>
    </row>
    <row r="35" spans="2:9" ht="35.1" customHeight="1" x14ac:dyDescent="0.25">
      <c r="B35" s="91"/>
      <c r="C35" s="92" t="s">
        <v>60</v>
      </c>
      <c r="D35" s="92" t="s">
        <v>61</v>
      </c>
      <c r="E35" s="93"/>
      <c r="F35" s="153"/>
      <c r="G35" s="94">
        <f>SUM(G36:G44)</f>
        <v>52978.759999999995</v>
      </c>
      <c r="H35" s="94">
        <f>SUM(H36:H44)</f>
        <v>21186.940000000002</v>
      </c>
      <c r="I35" s="90"/>
    </row>
    <row r="36" spans="2:9" ht="35.1" customHeight="1" x14ac:dyDescent="0.25">
      <c r="B36" s="16"/>
      <c r="C36" s="15" t="s">
        <v>105</v>
      </c>
      <c r="D36" s="15" t="s">
        <v>106</v>
      </c>
      <c r="E36" s="95" t="s">
        <v>226</v>
      </c>
      <c r="F36" s="154"/>
      <c r="G36" s="96">
        <v>2654.46</v>
      </c>
      <c r="H36" s="96">
        <v>137.9</v>
      </c>
      <c r="I36" s="148"/>
    </row>
    <row r="37" spans="2:9" ht="35.1" customHeight="1" x14ac:dyDescent="0.25">
      <c r="B37" s="16"/>
      <c r="C37" s="15" t="s">
        <v>105</v>
      </c>
      <c r="D37" s="15" t="s">
        <v>106</v>
      </c>
      <c r="E37" s="95" t="s">
        <v>221</v>
      </c>
      <c r="F37" s="154"/>
      <c r="G37" s="96">
        <v>1327.23</v>
      </c>
      <c r="H37" s="96">
        <v>1327.23</v>
      </c>
      <c r="I37" s="148"/>
    </row>
    <row r="38" spans="2:9" ht="35.1" customHeight="1" x14ac:dyDescent="0.25">
      <c r="B38" s="16"/>
      <c r="C38" s="15" t="s">
        <v>105</v>
      </c>
      <c r="D38" s="15" t="s">
        <v>106</v>
      </c>
      <c r="E38" s="95" t="s">
        <v>220</v>
      </c>
      <c r="F38" s="154"/>
      <c r="G38" s="96">
        <v>6636.14</v>
      </c>
      <c r="H38" s="96">
        <v>2299.4</v>
      </c>
      <c r="I38" s="148"/>
    </row>
    <row r="39" spans="2:9" ht="35.1" customHeight="1" x14ac:dyDescent="0.25">
      <c r="B39" s="16"/>
      <c r="C39" s="15" t="s">
        <v>107</v>
      </c>
      <c r="D39" s="15" t="s">
        <v>108</v>
      </c>
      <c r="E39" s="95" t="s">
        <v>220</v>
      </c>
      <c r="F39" s="154"/>
      <c r="G39" s="96">
        <v>2919.9</v>
      </c>
      <c r="H39" s="96">
        <f>1359.58+1377.38</f>
        <v>2736.96</v>
      </c>
      <c r="I39" s="148"/>
    </row>
    <row r="40" spans="2:9" ht="35.1" customHeight="1" x14ac:dyDescent="0.25">
      <c r="B40" s="16"/>
      <c r="C40" s="15" t="s">
        <v>109</v>
      </c>
      <c r="D40" s="15" t="s">
        <v>110</v>
      </c>
      <c r="E40" s="95" t="s">
        <v>220</v>
      </c>
      <c r="F40" s="154"/>
      <c r="G40" s="96">
        <v>24177.87</v>
      </c>
      <c r="H40" s="96">
        <f>0.01+4708.74</f>
        <v>4708.75</v>
      </c>
      <c r="I40" s="148"/>
    </row>
    <row r="41" spans="2:9" ht="35.1" customHeight="1" x14ac:dyDescent="0.25">
      <c r="B41" s="16"/>
      <c r="C41" s="15" t="s">
        <v>109</v>
      </c>
      <c r="D41" s="15" t="s">
        <v>110</v>
      </c>
      <c r="E41" s="95" t="s">
        <v>221</v>
      </c>
      <c r="F41" s="154"/>
      <c r="G41" s="96">
        <v>6636.17</v>
      </c>
      <c r="H41" s="96">
        <v>6636.17</v>
      </c>
      <c r="I41" s="148"/>
    </row>
    <row r="42" spans="2:9" ht="35.1" customHeight="1" x14ac:dyDescent="0.25">
      <c r="B42" s="16"/>
      <c r="C42" s="15" t="s">
        <v>111</v>
      </c>
      <c r="D42" s="15" t="s">
        <v>112</v>
      </c>
      <c r="E42" s="95" t="s">
        <v>220</v>
      </c>
      <c r="F42" s="154"/>
      <c r="G42" s="96">
        <v>2654.46</v>
      </c>
      <c r="H42" s="96">
        <v>1917.15</v>
      </c>
      <c r="I42" s="148"/>
    </row>
    <row r="43" spans="2:9" ht="35.1" customHeight="1" x14ac:dyDescent="0.25">
      <c r="B43" s="16"/>
      <c r="C43" s="15" t="s">
        <v>113</v>
      </c>
      <c r="D43" s="15" t="s">
        <v>114</v>
      </c>
      <c r="E43" s="95" t="s">
        <v>220</v>
      </c>
      <c r="F43" s="154"/>
      <c r="G43" s="96">
        <v>3318.07</v>
      </c>
      <c r="H43" s="96">
        <v>1336.89</v>
      </c>
      <c r="I43" s="148"/>
    </row>
    <row r="44" spans="2:9" ht="35.1" customHeight="1" x14ac:dyDescent="0.25">
      <c r="B44" s="16"/>
      <c r="C44" s="15" t="s">
        <v>115</v>
      </c>
      <c r="D44" s="15" t="s">
        <v>116</v>
      </c>
      <c r="E44" s="95" t="s">
        <v>220</v>
      </c>
      <c r="F44" s="154"/>
      <c r="G44" s="96">
        <v>2654.46</v>
      </c>
      <c r="H44" s="96">
        <v>86.49</v>
      </c>
      <c r="I44" s="148"/>
    </row>
    <row r="45" spans="2:9" ht="35.1" customHeight="1" x14ac:dyDescent="0.25">
      <c r="B45" s="91"/>
      <c r="C45" s="92" t="s">
        <v>62</v>
      </c>
      <c r="D45" s="92" t="s">
        <v>63</v>
      </c>
      <c r="E45" s="93"/>
      <c r="F45" s="153"/>
      <c r="G45" s="94">
        <f>SUM(G46:G58)</f>
        <v>143408.78</v>
      </c>
      <c r="H45" s="94">
        <f>SUM(H46:H58)</f>
        <v>86064.73</v>
      </c>
      <c r="I45" s="90"/>
    </row>
    <row r="46" spans="2:9" ht="35.1" customHeight="1" x14ac:dyDescent="0.25">
      <c r="B46" s="16"/>
      <c r="C46" s="15" t="s">
        <v>117</v>
      </c>
      <c r="D46" s="15" t="s">
        <v>118</v>
      </c>
      <c r="E46" s="95" t="s">
        <v>221</v>
      </c>
      <c r="F46" s="154"/>
      <c r="G46" s="96">
        <v>1990.84</v>
      </c>
      <c r="H46" s="96">
        <v>1060.5999999999999</v>
      </c>
      <c r="I46" s="148"/>
    </row>
    <row r="47" spans="2:9" ht="35.1" customHeight="1" x14ac:dyDescent="0.25">
      <c r="B47" s="16"/>
      <c r="C47" s="15" t="s">
        <v>117</v>
      </c>
      <c r="D47" s="15" t="s">
        <v>118</v>
      </c>
      <c r="E47" s="95" t="s">
        <v>220</v>
      </c>
      <c r="F47" s="154"/>
      <c r="G47" s="96">
        <v>7963.38</v>
      </c>
      <c r="H47" s="96">
        <f>665.26+1614.58</f>
        <v>2279.84</v>
      </c>
      <c r="I47" s="148"/>
    </row>
    <row r="48" spans="2:9" ht="35.1" customHeight="1" x14ac:dyDescent="0.25">
      <c r="B48" s="16"/>
      <c r="C48" s="15" t="s">
        <v>119</v>
      </c>
      <c r="D48" s="15" t="s">
        <v>120</v>
      </c>
      <c r="E48" s="95" t="s">
        <v>220</v>
      </c>
      <c r="F48" s="154"/>
      <c r="G48" s="96">
        <v>7419.2</v>
      </c>
      <c r="H48" s="96">
        <v>8243.85</v>
      </c>
      <c r="I48" s="148"/>
    </row>
    <row r="49" spans="2:9" ht="35.1" customHeight="1" x14ac:dyDescent="0.25">
      <c r="B49" s="16"/>
      <c r="C49" s="15" t="s">
        <v>121</v>
      </c>
      <c r="D49" s="15" t="s">
        <v>122</v>
      </c>
      <c r="E49" s="95" t="s">
        <v>220</v>
      </c>
      <c r="F49" s="154"/>
      <c r="G49" s="96">
        <v>2654.46</v>
      </c>
      <c r="H49" s="96">
        <v>1462.51</v>
      </c>
      <c r="I49" s="148"/>
    </row>
    <row r="50" spans="2:9" ht="35.1" customHeight="1" x14ac:dyDescent="0.25">
      <c r="B50" s="16"/>
      <c r="C50" s="15" t="s">
        <v>123</v>
      </c>
      <c r="D50" s="15" t="s">
        <v>124</v>
      </c>
      <c r="E50" s="95" t="s">
        <v>220</v>
      </c>
      <c r="F50" s="154"/>
      <c r="G50" s="96">
        <v>3450.79</v>
      </c>
      <c r="H50" s="96">
        <v>3160.79</v>
      </c>
      <c r="I50" s="148"/>
    </row>
    <row r="51" spans="2:9" ht="35.1" customHeight="1" x14ac:dyDescent="0.25">
      <c r="B51" s="16"/>
      <c r="C51" s="15" t="s">
        <v>125</v>
      </c>
      <c r="D51" s="15" t="s">
        <v>126</v>
      </c>
      <c r="E51" s="95" t="s">
        <v>220</v>
      </c>
      <c r="F51" s="154"/>
      <c r="G51" s="96">
        <v>2654.46</v>
      </c>
      <c r="H51" s="96">
        <v>1302.23</v>
      </c>
      <c r="I51" s="148"/>
    </row>
    <row r="52" spans="2:9" ht="35.1" customHeight="1" x14ac:dyDescent="0.25">
      <c r="B52" s="16"/>
      <c r="C52" s="15" t="s">
        <v>127</v>
      </c>
      <c r="D52" s="15" t="s">
        <v>128</v>
      </c>
      <c r="E52" s="95" t="s">
        <v>220</v>
      </c>
      <c r="F52" s="154"/>
      <c r="G52" s="96">
        <v>1990.84</v>
      </c>
      <c r="H52" s="96"/>
      <c r="I52" s="148"/>
    </row>
    <row r="53" spans="2:9" ht="35.1" customHeight="1" x14ac:dyDescent="0.25">
      <c r="B53" s="16"/>
      <c r="C53" s="15" t="s">
        <v>129</v>
      </c>
      <c r="D53" s="15" t="s">
        <v>130</v>
      </c>
      <c r="E53" s="95" t="s">
        <v>221</v>
      </c>
      <c r="F53" s="154"/>
      <c r="G53" s="96">
        <v>6504.08</v>
      </c>
      <c r="H53" s="96"/>
      <c r="I53" s="148"/>
    </row>
    <row r="54" spans="2:9" ht="35.1" customHeight="1" x14ac:dyDescent="0.25">
      <c r="B54" s="16"/>
      <c r="C54" s="15" t="s">
        <v>129</v>
      </c>
      <c r="D54" s="15" t="s">
        <v>130</v>
      </c>
      <c r="E54" s="95" t="s">
        <v>226</v>
      </c>
      <c r="F54" s="154"/>
      <c r="G54" s="96">
        <v>24628.39</v>
      </c>
      <c r="H54" s="96"/>
      <c r="I54" s="148"/>
    </row>
    <row r="55" spans="2:9" ht="35.1" customHeight="1" x14ac:dyDescent="0.25">
      <c r="B55" s="16"/>
      <c r="C55" s="15" t="s">
        <v>129</v>
      </c>
      <c r="D55" s="15" t="s">
        <v>130</v>
      </c>
      <c r="E55" s="95" t="s">
        <v>220</v>
      </c>
      <c r="F55" s="154"/>
      <c r="G55" s="96">
        <v>61052.13</v>
      </c>
      <c r="H55" s="96">
        <f>6504.08+48925.15</f>
        <v>55429.23</v>
      </c>
      <c r="I55" s="148"/>
    </row>
    <row r="56" spans="2:9" ht="35.1" customHeight="1" x14ac:dyDescent="0.25">
      <c r="B56" s="16"/>
      <c r="C56" s="15">
        <v>3237</v>
      </c>
      <c r="D56" s="15" t="s">
        <v>130</v>
      </c>
      <c r="E56" s="95">
        <v>53061</v>
      </c>
      <c r="F56" s="154"/>
      <c r="G56" s="96">
        <v>1864.56</v>
      </c>
      <c r="H56" s="96"/>
      <c r="I56" s="148"/>
    </row>
    <row r="57" spans="2:9" ht="35.1" customHeight="1" x14ac:dyDescent="0.25">
      <c r="B57" s="16"/>
      <c r="C57" s="15" t="s">
        <v>131</v>
      </c>
      <c r="D57" s="15" t="s">
        <v>132</v>
      </c>
      <c r="E57" s="95" t="s">
        <v>220</v>
      </c>
      <c r="F57" s="154"/>
      <c r="G57" s="96">
        <v>5308.91</v>
      </c>
      <c r="H57" s="96">
        <v>3305.37</v>
      </c>
      <c r="I57" s="148"/>
    </row>
    <row r="58" spans="2:9" ht="35.1" customHeight="1" x14ac:dyDescent="0.25">
      <c r="B58" s="16"/>
      <c r="C58" s="15" t="s">
        <v>133</v>
      </c>
      <c r="D58" s="15" t="s">
        <v>134</v>
      </c>
      <c r="E58" s="95" t="s">
        <v>220</v>
      </c>
      <c r="F58" s="154"/>
      <c r="G58" s="96">
        <v>15926.74</v>
      </c>
      <c r="H58" s="96">
        <v>9820.31</v>
      </c>
      <c r="I58" s="148"/>
    </row>
    <row r="59" spans="2:9" ht="35.1" customHeight="1" x14ac:dyDescent="0.25">
      <c r="B59" s="91"/>
      <c r="C59" s="92" t="s">
        <v>64</v>
      </c>
      <c r="D59" s="92" t="s">
        <v>65</v>
      </c>
      <c r="E59" s="93"/>
      <c r="F59" s="153"/>
      <c r="G59" s="94">
        <f>G60</f>
        <v>132.72</v>
      </c>
      <c r="H59" s="94">
        <f>H60</f>
        <v>0</v>
      </c>
      <c r="I59" s="90"/>
    </row>
    <row r="60" spans="2:9" ht="35.1" customHeight="1" x14ac:dyDescent="0.25">
      <c r="B60" s="16"/>
      <c r="C60" s="15" t="s">
        <v>135</v>
      </c>
      <c r="D60" s="15" t="s">
        <v>65</v>
      </c>
      <c r="E60" s="95" t="s">
        <v>220</v>
      </c>
      <c r="F60" s="154"/>
      <c r="G60" s="96">
        <v>132.72</v>
      </c>
      <c r="H60" s="96">
        <v>0</v>
      </c>
      <c r="I60" s="148"/>
    </row>
    <row r="61" spans="2:9" ht="35.1" customHeight="1" x14ac:dyDescent="0.25">
      <c r="B61" s="91"/>
      <c r="C61" s="92" t="s">
        <v>66</v>
      </c>
      <c r="D61" s="92" t="s">
        <v>67</v>
      </c>
      <c r="E61" s="93"/>
      <c r="F61" s="153"/>
      <c r="G61" s="94">
        <f>SUM(G62:G68)</f>
        <v>10737.27</v>
      </c>
      <c r="H61" s="94">
        <f>SUM(H62:H68)</f>
        <v>5223.9400000000005</v>
      </c>
      <c r="I61" s="90"/>
    </row>
    <row r="62" spans="2:9" ht="35.1" customHeight="1" x14ac:dyDescent="0.25">
      <c r="B62" s="16"/>
      <c r="C62" s="15" t="s">
        <v>136</v>
      </c>
      <c r="D62" s="15" t="s">
        <v>227</v>
      </c>
      <c r="E62" s="95" t="s">
        <v>221</v>
      </c>
      <c r="F62" s="154"/>
      <c r="G62" s="96">
        <v>1592.67</v>
      </c>
      <c r="H62" s="96">
        <v>0</v>
      </c>
      <c r="I62" s="148"/>
    </row>
    <row r="63" spans="2:9" ht="35.1" customHeight="1" x14ac:dyDescent="0.25">
      <c r="B63" s="16"/>
      <c r="C63" s="15" t="s">
        <v>136</v>
      </c>
      <c r="D63" s="15" t="s">
        <v>137</v>
      </c>
      <c r="E63" s="95" t="s">
        <v>220</v>
      </c>
      <c r="F63" s="154"/>
      <c r="G63" s="96">
        <v>849.43</v>
      </c>
      <c r="H63" s="96">
        <v>845.74</v>
      </c>
      <c r="I63" s="148"/>
    </row>
    <row r="64" spans="2:9" ht="35.1" customHeight="1" x14ac:dyDescent="0.25">
      <c r="B64" s="16"/>
      <c r="C64" s="15" t="s">
        <v>138</v>
      </c>
      <c r="D64" s="15" t="s">
        <v>139</v>
      </c>
      <c r="E64" s="95" t="s">
        <v>220</v>
      </c>
      <c r="F64" s="154"/>
      <c r="G64" s="96">
        <v>4910.74</v>
      </c>
      <c r="H64" s="96">
        <v>3369.36</v>
      </c>
      <c r="I64" s="148"/>
    </row>
    <row r="65" spans="2:9" ht="35.1" customHeight="1" x14ac:dyDescent="0.25">
      <c r="B65" s="16"/>
      <c r="C65" s="15" t="s">
        <v>140</v>
      </c>
      <c r="D65" s="15" t="s">
        <v>141</v>
      </c>
      <c r="E65" s="95" t="s">
        <v>220</v>
      </c>
      <c r="F65" s="154"/>
      <c r="G65" s="96">
        <v>1592.67</v>
      </c>
      <c r="H65" s="96">
        <v>324.20999999999998</v>
      </c>
      <c r="I65" s="148"/>
    </row>
    <row r="66" spans="2:9" ht="35.1" customHeight="1" x14ac:dyDescent="0.25">
      <c r="B66" s="16"/>
      <c r="C66" s="15" t="s">
        <v>142</v>
      </c>
      <c r="D66" s="15" t="s">
        <v>143</v>
      </c>
      <c r="E66" s="95" t="s">
        <v>220</v>
      </c>
      <c r="F66" s="154"/>
      <c r="G66" s="96">
        <v>1327.23</v>
      </c>
      <c r="H66" s="96">
        <v>601</v>
      </c>
      <c r="I66" s="148"/>
    </row>
    <row r="67" spans="2:9" ht="35.1" customHeight="1" x14ac:dyDescent="0.25">
      <c r="B67" s="16"/>
      <c r="C67" s="15" t="s">
        <v>144</v>
      </c>
      <c r="D67" s="15" t="s">
        <v>145</v>
      </c>
      <c r="E67" s="95" t="s">
        <v>220</v>
      </c>
      <c r="F67" s="154"/>
      <c r="G67" s="96">
        <v>199.08</v>
      </c>
      <c r="H67" s="96">
        <v>73.010000000000005</v>
      </c>
      <c r="I67" s="148"/>
    </row>
    <row r="68" spans="2:9" ht="35.1" customHeight="1" x14ac:dyDescent="0.25">
      <c r="B68" s="16"/>
      <c r="C68" s="15" t="s">
        <v>146</v>
      </c>
      <c r="D68" s="15" t="s">
        <v>147</v>
      </c>
      <c r="E68" s="95" t="s">
        <v>220</v>
      </c>
      <c r="F68" s="154"/>
      <c r="G68" s="96">
        <v>265.45</v>
      </c>
      <c r="H68" s="96">
        <v>10.62</v>
      </c>
      <c r="I68" s="148"/>
    </row>
    <row r="69" spans="2:9" ht="35.1" customHeight="1" x14ac:dyDescent="0.25">
      <c r="B69" s="91"/>
      <c r="C69" s="92" t="s">
        <v>68</v>
      </c>
      <c r="D69" s="92" t="s">
        <v>69</v>
      </c>
      <c r="E69" s="93"/>
      <c r="F69" s="153">
        <v>9317</v>
      </c>
      <c r="G69" s="94">
        <f>G70</f>
        <v>9317</v>
      </c>
      <c r="H69" s="94">
        <f>H70</f>
        <v>3208.28</v>
      </c>
      <c r="I69" s="90">
        <f t="shared" si="0"/>
        <v>34.434689277664489</v>
      </c>
    </row>
    <row r="70" spans="2:9" ht="35.1" customHeight="1" x14ac:dyDescent="0.25">
      <c r="B70" s="91"/>
      <c r="C70" s="92" t="s">
        <v>70</v>
      </c>
      <c r="D70" s="92" t="s">
        <v>71</v>
      </c>
      <c r="E70" s="93"/>
      <c r="F70" s="153"/>
      <c r="G70" s="94">
        <f>SUM(G71:G73)</f>
        <v>9317</v>
      </c>
      <c r="H70" s="94">
        <f>SUM(H71:H73)</f>
        <v>3208.28</v>
      </c>
      <c r="I70" s="90"/>
    </row>
    <row r="71" spans="2:9" ht="35.1" customHeight="1" x14ac:dyDescent="0.25">
      <c r="B71" s="16"/>
      <c r="C71" s="15" t="s">
        <v>148</v>
      </c>
      <c r="D71" s="15" t="s">
        <v>149</v>
      </c>
      <c r="E71" s="95" t="s">
        <v>220</v>
      </c>
      <c r="F71" s="154"/>
      <c r="G71" s="96">
        <v>9290.06</v>
      </c>
      <c r="H71" s="96">
        <v>3208.28</v>
      </c>
      <c r="I71" s="148"/>
    </row>
    <row r="72" spans="2:9" ht="35.1" customHeight="1" x14ac:dyDescent="0.25">
      <c r="B72" s="16"/>
      <c r="C72" s="15" t="s">
        <v>150</v>
      </c>
      <c r="D72" s="15" t="s">
        <v>151</v>
      </c>
      <c r="E72" s="95" t="s">
        <v>220</v>
      </c>
      <c r="F72" s="154"/>
      <c r="G72" s="96">
        <v>13.27</v>
      </c>
      <c r="H72" s="96"/>
      <c r="I72" s="148"/>
    </row>
    <row r="73" spans="2:9" ht="35.1" customHeight="1" x14ac:dyDescent="0.25">
      <c r="B73" s="16"/>
      <c r="C73" s="15" t="s">
        <v>152</v>
      </c>
      <c r="D73" s="15" t="s">
        <v>153</v>
      </c>
      <c r="E73" s="95" t="s">
        <v>220</v>
      </c>
      <c r="F73" s="154"/>
      <c r="G73" s="96">
        <v>13.67</v>
      </c>
      <c r="H73" s="96"/>
      <c r="I73" s="148"/>
    </row>
    <row r="74" spans="2:9" ht="35.1" customHeight="1" x14ac:dyDescent="0.25">
      <c r="B74" s="87" t="s">
        <v>228</v>
      </c>
      <c r="C74" s="186" t="s">
        <v>229</v>
      </c>
      <c r="D74" s="192"/>
      <c r="E74" s="88"/>
      <c r="F74" s="152">
        <v>26823</v>
      </c>
      <c r="G74" s="89">
        <f>G75</f>
        <v>31735</v>
      </c>
      <c r="H74" s="89">
        <f>H75</f>
        <v>5890.25</v>
      </c>
      <c r="I74" s="90">
        <f t="shared" ref="I74:I123" si="1">H74/G74*100</f>
        <v>18.560737356231289</v>
      </c>
    </row>
    <row r="75" spans="2:9" ht="35.1" customHeight="1" x14ac:dyDescent="0.25">
      <c r="B75" s="91"/>
      <c r="C75" s="92" t="s">
        <v>72</v>
      </c>
      <c r="D75" s="92" t="s">
        <v>73</v>
      </c>
      <c r="E75" s="93"/>
      <c r="F75" s="153">
        <v>26823</v>
      </c>
      <c r="G75" s="94">
        <f>G76</f>
        <v>31735</v>
      </c>
      <c r="H75" s="94">
        <f>H76</f>
        <v>5890.25</v>
      </c>
      <c r="I75" s="90">
        <f t="shared" si="1"/>
        <v>18.560737356231289</v>
      </c>
    </row>
    <row r="76" spans="2:9" ht="35.1" customHeight="1" x14ac:dyDescent="0.25">
      <c r="B76" s="91"/>
      <c r="C76" s="92" t="s">
        <v>78</v>
      </c>
      <c r="D76" s="92" t="s">
        <v>79</v>
      </c>
      <c r="E76" s="93"/>
      <c r="F76" s="153">
        <v>26823</v>
      </c>
      <c r="G76" s="94">
        <f>G77+G84</f>
        <v>31735</v>
      </c>
      <c r="H76" s="94">
        <f>H77+H84</f>
        <v>5890.25</v>
      </c>
      <c r="I76" s="90">
        <f t="shared" si="1"/>
        <v>18.560737356231289</v>
      </c>
    </row>
    <row r="77" spans="2:9" ht="35.1" customHeight="1" x14ac:dyDescent="0.25">
      <c r="B77" s="91"/>
      <c r="C77" s="92" t="s">
        <v>80</v>
      </c>
      <c r="D77" s="92" t="s">
        <v>81</v>
      </c>
      <c r="E77" s="93"/>
      <c r="F77" s="153"/>
      <c r="G77" s="94">
        <f>SUM(G78:G83)</f>
        <v>31071.57</v>
      </c>
      <c r="H77" s="94">
        <f>SUM(H78:H83)</f>
        <v>5890.25</v>
      </c>
      <c r="I77" s="90"/>
    </row>
    <row r="78" spans="2:9" ht="35.1" customHeight="1" x14ac:dyDescent="0.25">
      <c r="B78" s="16"/>
      <c r="C78" s="15" t="s">
        <v>156</v>
      </c>
      <c r="D78" s="15" t="s">
        <v>157</v>
      </c>
      <c r="E78" s="95" t="s">
        <v>220</v>
      </c>
      <c r="F78" s="154"/>
      <c r="G78" s="96">
        <v>8880.41</v>
      </c>
      <c r="H78" s="96">
        <v>3801.25</v>
      </c>
      <c r="I78" s="148"/>
    </row>
    <row r="79" spans="2:9" ht="35.1" customHeight="1" x14ac:dyDescent="0.25">
      <c r="B79" s="16"/>
      <c r="C79" s="15">
        <v>4221</v>
      </c>
      <c r="D79" s="15" t="s">
        <v>157</v>
      </c>
      <c r="E79" s="95">
        <v>32600</v>
      </c>
      <c r="F79" s="154"/>
      <c r="G79" s="96">
        <v>13298.73</v>
      </c>
      <c r="H79" s="96"/>
      <c r="I79" s="148"/>
    </row>
    <row r="80" spans="2:9" ht="35.1" customHeight="1" x14ac:dyDescent="0.25">
      <c r="B80" s="16"/>
      <c r="C80" s="15" t="s">
        <v>158</v>
      </c>
      <c r="D80" s="15" t="s">
        <v>159</v>
      </c>
      <c r="E80" s="95" t="s">
        <v>220</v>
      </c>
      <c r="F80" s="154"/>
      <c r="G80" s="96">
        <v>1990.84</v>
      </c>
      <c r="H80" s="96"/>
      <c r="I80" s="148"/>
    </row>
    <row r="81" spans="2:9" ht="35.1" customHeight="1" x14ac:dyDescent="0.25">
      <c r="B81" s="16"/>
      <c r="C81" s="15" t="s">
        <v>160</v>
      </c>
      <c r="D81" s="15" t="s">
        <v>161</v>
      </c>
      <c r="E81" s="95" t="s">
        <v>220</v>
      </c>
      <c r="F81" s="154"/>
      <c r="G81" s="96">
        <v>3981.68</v>
      </c>
      <c r="H81" s="96"/>
      <c r="I81" s="148"/>
    </row>
    <row r="82" spans="2:9" ht="35.1" customHeight="1" x14ac:dyDescent="0.25">
      <c r="B82" s="16"/>
      <c r="C82" s="15" t="s">
        <v>162</v>
      </c>
      <c r="D82" s="15" t="s">
        <v>163</v>
      </c>
      <c r="E82" s="95" t="s">
        <v>220</v>
      </c>
      <c r="F82" s="154"/>
      <c r="G82" s="96">
        <v>2654.46</v>
      </c>
      <c r="H82" s="96">
        <v>0</v>
      </c>
      <c r="I82" s="148"/>
    </row>
    <row r="83" spans="2:9" ht="35.1" customHeight="1" x14ac:dyDescent="0.25">
      <c r="B83" s="16"/>
      <c r="C83" s="15" t="s">
        <v>164</v>
      </c>
      <c r="D83" s="15" t="s">
        <v>165</v>
      </c>
      <c r="E83" s="95" t="s">
        <v>220</v>
      </c>
      <c r="F83" s="154"/>
      <c r="G83" s="96">
        <v>265.45</v>
      </c>
      <c r="H83" s="96">
        <v>2089</v>
      </c>
      <c r="I83" s="148"/>
    </row>
    <row r="84" spans="2:9" ht="35.1" customHeight="1" x14ac:dyDescent="0.25">
      <c r="B84" s="91"/>
      <c r="C84" s="92" t="s">
        <v>84</v>
      </c>
      <c r="D84" s="92" t="s">
        <v>85</v>
      </c>
      <c r="E84" s="93"/>
      <c r="F84" s="153"/>
      <c r="G84" s="94">
        <f>G85</f>
        <v>663.43</v>
      </c>
      <c r="H84" s="94">
        <f>H85</f>
        <v>0</v>
      </c>
      <c r="I84" s="90"/>
    </row>
    <row r="85" spans="2:9" ht="35.1" customHeight="1" x14ac:dyDescent="0.25">
      <c r="B85" s="16"/>
      <c r="C85" s="15" t="s">
        <v>170</v>
      </c>
      <c r="D85" s="15" t="s">
        <v>171</v>
      </c>
      <c r="E85" s="95" t="s">
        <v>220</v>
      </c>
      <c r="F85" s="154"/>
      <c r="G85" s="96">
        <v>663.43</v>
      </c>
      <c r="H85" s="96"/>
      <c r="I85" s="148"/>
    </row>
    <row r="86" spans="2:9" ht="35.1" customHeight="1" x14ac:dyDescent="0.25">
      <c r="B86" s="87" t="s">
        <v>230</v>
      </c>
      <c r="C86" s="186" t="s">
        <v>231</v>
      </c>
      <c r="D86" s="192"/>
      <c r="E86" s="88"/>
      <c r="F86" s="152">
        <v>378760</v>
      </c>
      <c r="G86" s="89">
        <f>G87+G91</f>
        <v>354151.24</v>
      </c>
      <c r="H86" s="89">
        <f>H87+H92</f>
        <v>6639.66</v>
      </c>
      <c r="I86" s="90">
        <f t="shared" si="1"/>
        <v>1.874809191688839</v>
      </c>
    </row>
    <row r="87" spans="2:9" ht="35.1" customHeight="1" x14ac:dyDescent="0.25">
      <c r="B87" s="91"/>
      <c r="C87" s="92" t="s">
        <v>46</v>
      </c>
      <c r="D87" s="92" t="s">
        <v>47</v>
      </c>
      <c r="E87" s="93"/>
      <c r="F87" s="153">
        <v>6636</v>
      </c>
      <c r="G87" s="94">
        <f t="shared" ref="G87:H89" si="2">G88</f>
        <v>6636</v>
      </c>
      <c r="H87" s="94">
        <f t="shared" si="2"/>
        <v>290</v>
      </c>
      <c r="I87" s="90">
        <f t="shared" si="1"/>
        <v>4.3701024713682948</v>
      </c>
    </row>
    <row r="88" spans="2:9" ht="35.1" customHeight="1" x14ac:dyDescent="0.25">
      <c r="B88" s="91"/>
      <c r="C88" s="92" t="s">
        <v>56</v>
      </c>
      <c r="D88" s="92" t="s">
        <v>57</v>
      </c>
      <c r="E88" s="93"/>
      <c r="F88" s="153">
        <v>6636</v>
      </c>
      <c r="G88" s="94">
        <f t="shared" si="2"/>
        <v>6636</v>
      </c>
      <c r="H88" s="94">
        <f t="shared" si="2"/>
        <v>290</v>
      </c>
      <c r="I88" s="90">
        <f t="shared" si="1"/>
        <v>4.3701024713682948</v>
      </c>
    </row>
    <row r="89" spans="2:9" ht="35.1" customHeight="1" x14ac:dyDescent="0.25">
      <c r="B89" s="91"/>
      <c r="C89" s="92" t="s">
        <v>62</v>
      </c>
      <c r="D89" s="92" t="s">
        <v>63</v>
      </c>
      <c r="E89" s="93"/>
      <c r="F89" s="153"/>
      <c r="G89" s="94">
        <f t="shared" si="2"/>
        <v>6636</v>
      </c>
      <c r="H89" s="94">
        <f t="shared" si="2"/>
        <v>290</v>
      </c>
      <c r="I89" s="90"/>
    </row>
    <row r="90" spans="2:9" ht="35.1" customHeight="1" x14ac:dyDescent="0.25">
      <c r="B90" s="16"/>
      <c r="C90" s="15" t="s">
        <v>119</v>
      </c>
      <c r="D90" s="15" t="s">
        <v>120</v>
      </c>
      <c r="E90" s="95" t="s">
        <v>220</v>
      </c>
      <c r="F90" s="154"/>
      <c r="G90" s="96">
        <v>6636</v>
      </c>
      <c r="H90" s="96">
        <v>290</v>
      </c>
      <c r="I90" s="148"/>
    </row>
    <row r="91" spans="2:9" ht="35.1" customHeight="1" x14ac:dyDescent="0.25">
      <c r="B91" s="91"/>
      <c r="C91" s="92" t="s">
        <v>72</v>
      </c>
      <c r="D91" s="92" t="s">
        <v>73</v>
      </c>
      <c r="E91" s="93"/>
      <c r="F91" s="153">
        <v>372124</v>
      </c>
      <c r="G91" s="94">
        <f>G92</f>
        <v>347515.24</v>
      </c>
      <c r="H91" s="94">
        <f>H92</f>
        <v>6349.66</v>
      </c>
      <c r="I91" s="90">
        <f t="shared" si="1"/>
        <v>1.8271601556236785</v>
      </c>
    </row>
    <row r="92" spans="2:9" ht="35.1" customHeight="1" x14ac:dyDescent="0.25">
      <c r="B92" s="91"/>
      <c r="C92" s="92" t="s">
        <v>74</v>
      </c>
      <c r="D92" s="92" t="s">
        <v>75</v>
      </c>
      <c r="E92" s="93"/>
      <c r="F92" s="153">
        <v>372124</v>
      </c>
      <c r="G92" s="94">
        <f>G93</f>
        <v>347515.24</v>
      </c>
      <c r="H92" s="94">
        <f>H93</f>
        <v>6349.66</v>
      </c>
      <c r="I92" s="90">
        <f t="shared" si="1"/>
        <v>1.8271601556236785</v>
      </c>
    </row>
    <row r="93" spans="2:9" ht="35.1" customHeight="1" x14ac:dyDescent="0.25">
      <c r="B93" s="91"/>
      <c r="C93" s="92" t="s">
        <v>76</v>
      </c>
      <c r="D93" s="92" t="s">
        <v>77</v>
      </c>
      <c r="E93" s="93"/>
      <c r="F93" s="153"/>
      <c r="G93" s="94">
        <f>SUM(G94:G97)</f>
        <v>347515.24</v>
      </c>
      <c r="H93" s="94">
        <f>SUM(H94:H97)</f>
        <v>6349.66</v>
      </c>
      <c r="I93" s="90"/>
    </row>
    <row r="94" spans="2:9" ht="35.1" customHeight="1" x14ac:dyDescent="0.25">
      <c r="B94" s="16"/>
      <c r="C94" s="15" t="s">
        <v>154</v>
      </c>
      <c r="D94" s="15" t="s">
        <v>155</v>
      </c>
      <c r="E94" s="95" t="s">
        <v>221</v>
      </c>
      <c r="F94" s="154"/>
      <c r="G94" s="96">
        <v>3407</v>
      </c>
      <c r="H94" s="96">
        <v>0</v>
      </c>
      <c r="I94" s="148"/>
    </row>
    <row r="95" spans="2:9" ht="35.1" customHeight="1" x14ac:dyDescent="0.25">
      <c r="B95" s="16"/>
      <c r="C95" s="15" t="s">
        <v>154</v>
      </c>
      <c r="D95" s="15" t="s">
        <v>155</v>
      </c>
      <c r="E95" s="95" t="s">
        <v>220</v>
      </c>
      <c r="F95" s="154"/>
      <c r="G95" s="96">
        <v>328310.53999999998</v>
      </c>
      <c r="H95" s="96">
        <v>6349.66</v>
      </c>
      <c r="I95" s="148"/>
    </row>
    <row r="96" spans="2:9" ht="35.1" customHeight="1" x14ac:dyDescent="0.25">
      <c r="B96" s="16"/>
      <c r="C96" s="15">
        <v>4124</v>
      </c>
      <c r="D96" s="15" t="s">
        <v>155</v>
      </c>
      <c r="E96" s="95">
        <v>32600</v>
      </c>
      <c r="F96" s="154"/>
      <c r="G96" s="96">
        <v>13143.7</v>
      </c>
      <c r="H96" s="96"/>
      <c r="I96" s="148"/>
    </row>
    <row r="97" spans="2:9" ht="35.1" customHeight="1" x14ac:dyDescent="0.25">
      <c r="B97" s="16"/>
      <c r="C97" s="15" t="s">
        <v>154</v>
      </c>
      <c r="D97" s="15" t="s">
        <v>155</v>
      </c>
      <c r="E97" s="95" t="s">
        <v>233</v>
      </c>
      <c r="F97" s="154"/>
      <c r="G97" s="96">
        <v>2654</v>
      </c>
      <c r="H97" s="96">
        <v>0</v>
      </c>
      <c r="I97" s="148"/>
    </row>
    <row r="98" spans="2:9" ht="35.1" customHeight="1" x14ac:dyDescent="0.25">
      <c r="B98" s="104" t="s">
        <v>312</v>
      </c>
      <c r="C98" s="195" t="s">
        <v>313</v>
      </c>
      <c r="D98" s="196"/>
      <c r="E98" s="95"/>
      <c r="F98" s="156">
        <v>13272</v>
      </c>
      <c r="G98" s="106">
        <f>G99</f>
        <v>13272</v>
      </c>
      <c r="H98" s="96">
        <f>H99</f>
        <v>0</v>
      </c>
      <c r="I98" s="90">
        <f t="shared" si="1"/>
        <v>0</v>
      </c>
    </row>
    <row r="99" spans="2:9" ht="35.1" customHeight="1" x14ac:dyDescent="0.25">
      <c r="B99" s="104"/>
      <c r="C99" s="92" t="s">
        <v>72</v>
      </c>
      <c r="D99" s="92" t="s">
        <v>73</v>
      </c>
      <c r="E99" s="95"/>
      <c r="F99" s="154">
        <v>13272</v>
      </c>
      <c r="G99" s="96">
        <f>G100+G103</f>
        <v>13272</v>
      </c>
      <c r="H99" s="96">
        <f>H100</f>
        <v>0</v>
      </c>
      <c r="I99" s="90">
        <f t="shared" si="1"/>
        <v>0</v>
      </c>
    </row>
    <row r="100" spans="2:9" ht="35.1" customHeight="1" x14ac:dyDescent="0.25">
      <c r="B100" s="104"/>
      <c r="C100" s="92" t="s">
        <v>74</v>
      </c>
      <c r="D100" s="92" t="s">
        <v>75</v>
      </c>
      <c r="E100" s="95"/>
      <c r="F100" s="154">
        <v>6636</v>
      </c>
      <c r="G100" s="96">
        <f>G101</f>
        <v>6636</v>
      </c>
      <c r="H100" s="96">
        <f>H101</f>
        <v>0</v>
      </c>
      <c r="I100" s="90">
        <f t="shared" si="1"/>
        <v>0</v>
      </c>
    </row>
    <row r="101" spans="2:9" ht="35.1" customHeight="1" x14ac:dyDescent="0.25">
      <c r="B101" s="16"/>
      <c r="C101" s="92" t="s">
        <v>76</v>
      </c>
      <c r="D101" s="92" t="s">
        <v>77</v>
      </c>
      <c r="E101" s="95"/>
      <c r="F101" s="154"/>
      <c r="G101" s="96">
        <f>G102</f>
        <v>6636</v>
      </c>
      <c r="H101" s="96">
        <f>H102</f>
        <v>0</v>
      </c>
      <c r="I101" s="90"/>
    </row>
    <row r="102" spans="2:9" ht="35.1" customHeight="1" x14ac:dyDescent="0.25">
      <c r="B102" s="16"/>
      <c r="C102" s="15" t="s">
        <v>154</v>
      </c>
      <c r="D102" s="15" t="s">
        <v>155</v>
      </c>
      <c r="E102" s="95">
        <v>47600</v>
      </c>
      <c r="F102" s="154"/>
      <c r="G102" s="96">
        <v>6636</v>
      </c>
      <c r="H102" s="96"/>
      <c r="I102" s="148"/>
    </row>
    <row r="103" spans="2:9" ht="35.1" customHeight="1" x14ac:dyDescent="0.25">
      <c r="B103" s="16"/>
      <c r="C103" s="92">
        <v>42</v>
      </c>
      <c r="D103" s="92" t="s">
        <v>79</v>
      </c>
      <c r="E103" s="95"/>
      <c r="F103" s="154">
        <v>6636</v>
      </c>
      <c r="G103" s="96">
        <f>G104</f>
        <v>6636</v>
      </c>
      <c r="H103" s="96">
        <f>H104</f>
        <v>0</v>
      </c>
      <c r="I103" s="90">
        <f t="shared" si="1"/>
        <v>0</v>
      </c>
    </row>
    <row r="104" spans="2:9" ht="35.1" customHeight="1" x14ac:dyDescent="0.25">
      <c r="B104" s="16"/>
      <c r="C104" s="92">
        <v>422</v>
      </c>
      <c r="D104" s="92" t="s">
        <v>81</v>
      </c>
      <c r="E104" s="95"/>
      <c r="F104" s="154"/>
      <c r="G104" s="96">
        <f>G105</f>
        <v>6636</v>
      </c>
      <c r="H104" s="96">
        <f>H105</f>
        <v>0</v>
      </c>
      <c r="I104" s="90"/>
    </row>
    <row r="105" spans="2:9" ht="35.1" customHeight="1" x14ac:dyDescent="0.25">
      <c r="B105" s="16"/>
      <c r="C105" s="15">
        <v>4221</v>
      </c>
      <c r="D105" s="15" t="s">
        <v>157</v>
      </c>
      <c r="E105" s="95"/>
      <c r="F105" s="154"/>
      <c r="G105" s="96">
        <v>6636</v>
      </c>
      <c r="H105" s="96"/>
      <c r="I105" s="148"/>
    </row>
    <row r="106" spans="2:9" ht="35.1" customHeight="1" x14ac:dyDescent="0.25">
      <c r="B106" s="87" t="s">
        <v>234</v>
      </c>
      <c r="C106" s="186" t="s">
        <v>235</v>
      </c>
      <c r="D106" s="191"/>
      <c r="E106" s="88"/>
      <c r="F106" s="152">
        <v>67688</v>
      </c>
      <c r="G106" s="89">
        <f t="shared" ref="G106:H109" si="3">G107</f>
        <v>70969.98000000001</v>
      </c>
      <c r="H106" s="89">
        <f t="shared" si="3"/>
        <v>26398.99</v>
      </c>
      <c r="I106" s="90">
        <f t="shared" si="1"/>
        <v>37.19740374733091</v>
      </c>
    </row>
    <row r="107" spans="2:9" ht="35.1" customHeight="1" x14ac:dyDescent="0.25">
      <c r="B107" s="87" t="s">
        <v>236</v>
      </c>
      <c r="C107" s="186" t="s">
        <v>237</v>
      </c>
      <c r="D107" s="192"/>
      <c r="E107" s="88"/>
      <c r="F107" s="152">
        <v>67688</v>
      </c>
      <c r="G107" s="89">
        <f t="shared" si="3"/>
        <v>70969.98000000001</v>
      </c>
      <c r="H107" s="89">
        <f t="shared" si="3"/>
        <v>26398.99</v>
      </c>
      <c r="I107" s="90">
        <f t="shared" si="1"/>
        <v>37.19740374733091</v>
      </c>
    </row>
    <row r="108" spans="2:9" ht="35.1" customHeight="1" x14ac:dyDescent="0.25">
      <c r="B108" s="91"/>
      <c r="C108" s="92" t="s">
        <v>72</v>
      </c>
      <c r="D108" s="92" t="s">
        <v>73</v>
      </c>
      <c r="E108" s="93"/>
      <c r="F108" s="153">
        <v>67688</v>
      </c>
      <c r="G108" s="94">
        <f t="shared" si="3"/>
        <v>70969.98000000001</v>
      </c>
      <c r="H108" s="94">
        <f t="shared" si="3"/>
        <v>26398.99</v>
      </c>
      <c r="I108" s="90">
        <f t="shared" si="1"/>
        <v>37.19740374733091</v>
      </c>
    </row>
    <row r="109" spans="2:9" ht="35.1" customHeight="1" x14ac:dyDescent="0.25">
      <c r="B109" s="91"/>
      <c r="C109" s="92" t="s">
        <v>78</v>
      </c>
      <c r="D109" s="92" t="s">
        <v>79</v>
      </c>
      <c r="E109" s="93"/>
      <c r="F109" s="153">
        <v>67688</v>
      </c>
      <c r="G109" s="94">
        <f t="shared" si="3"/>
        <v>70969.98000000001</v>
      </c>
      <c r="H109" s="94">
        <f t="shared" si="3"/>
        <v>26398.99</v>
      </c>
      <c r="I109" s="90">
        <f t="shared" si="1"/>
        <v>37.19740374733091</v>
      </c>
    </row>
    <row r="110" spans="2:9" ht="35.1" customHeight="1" x14ac:dyDescent="0.25">
      <c r="B110" s="91"/>
      <c r="C110" s="92" t="s">
        <v>82</v>
      </c>
      <c r="D110" s="92" t="s">
        <v>83</v>
      </c>
      <c r="E110" s="93"/>
      <c r="F110" s="153"/>
      <c r="G110" s="94">
        <f>SUM(G111:G113)</f>
        <v>70969.98000000001</v>
      </c>
      <c r="H110" s="94">
        <f>SUM(H111:H113)</f>
        <v>26398.99</v>
      </c>
      <c r="I110" s="90"/>
    </row>
    <row r="111" spans="2:9" ht="35.1" customHeight="1" x14ac:dyDescent="0.25">
      <c r="B111" s="16"/>
      <c r="C111" s="15" t="s">
        <v>166</v>
      </c>
      <c r="D111" s="15" t="s">
        <v>167</v>
      </c>
      <c r="E111" s="95" t="s">
        <v>220</v>
      </c>
      <c r="F111" s="154"/>
      <c r="G111" s="96">
        <v>663.21</v>
      </c>
      <c r="H111" s="96">
        <v>24.31</v>
      </c>
      <c r="I111" s="148"/>
    </row>
    <row r="112" spans="2:9" ht="35.1" customHeight="1" x14ac:dyDescent="0.25">
      <c r="B112" s="16"/>
      <c r="C112" s="15" t="s">
        <v>168</v>
      </c>
      <c r="D112" s="15" t="s">
        <v>169</v>
      </c>
      <c r="E112" s="95" t="s">
        <v>220</v>
      </c>
      <c r="F112" s="154"/>
      <c r="G112" s="96">
        <v>68979.77</v>
      </c>
      <c r="H112" s="96">
        <v>26374.68</v>
      </c>
      <c r="I112" s="148"/>
    </row>
    <row r="113" spans="2:9" ht="35.1" customHeight="1" x14ac:dyDescent="0.25">
      <c r="B113" s="16"/>
      <c r="C113" s="15" t="s">
        <v>168</v>
      </c>
      <c r="D113" s="15" t="s">
        <v>169</v>
      </c>
      <c r="E113" s="95" t="s">
        <v>238</v>
      </c>
      <c r="F113" s="154"/>
      <c r="G113" s="96">
        <v>1327</v>
      </c>
      <c r="H113" s="96">
        <v>0</v>
      </c>
      <c r="I113" s="148"/>
    </row>
    <row r="114" spans="2:9" ht="35.1" customHeight="1" x14ac:dyDescent="0.25">
      <c r="B114" s="97" t="s">
        <v>239</v>
      </c>
      <c r="C114" s="193" t="s">
        <v>240</v>
      </c>
      <c r="D114" s="194"/>
      <c r="E114" s="98"/>
      <c r="F114" s="152">
        <v>109096</v>
      </c>
      <c r="G114" s="89">
        <f>G115+G121+G138+G150+G156+G163+G173</f>
        <v>115683.02</v>
      </c>
      <c r="H114" s="89">
        <f>H115+H121+H138+H150+H156+H173</f>
        <v>4514.9900000000007</v>
      </c>
      <c r="I114" s="90">
        <f t="shared" si="1"/>
        <v>3.9028977632153801</v>
      </c>
    </row>
    <row r="115" spans="2:9" ht="35.1" customHeight="1" x14ac:dyDescent="0.25">
      <c r="B115" s="87" t="s">
        <v>241</v>
      </c>
      <c r="C115" s="186" t="s">
        <v>242</v>
      </c>
      <c r="D115" s="187"/>
      <c r="E115" s="98"/>
      <c r="F115" s="152">
        <v>6636</v>
      </c>
      <c r="G115" s="89">
        <f>G116</f>
        <v>12933.310000000001</v>
      </c>
      <c r="H115" s="89">
        <v>0</v>
      </c>
      <c r="I115" s="90">
        <f t="shared" si="1"/>
        <v>0</v>
      </c>
    </row>
    <row r="116" spans="2:9" ht="35.1" customHeight="1" x14ac:dyDescent="0.25">
      <c r="B116" s="91"/>
      <c r="C116" s="92" t="s">
        <v>46</v>
      </c>
      <c r="D116" s="92" t="s">
        <v>47</v>
      </c>
      <c r="E116" s="93"/>
      <c r="F116" s="153">
        <v>6636</v>
      </c>
      <c r="G116" s="94">
        <f>G117</f>
        <v>12933.310000000001</v>
      </c>
      <c r="H116" s="94">
        <v>0</v>
      </c>
      <c r="I116" s="90">
        <f t="shared" si="1"/>
        <v>0</v>
      </c>
    </row>
    <row r="117" spans="2:9" ht="35.1" customHeight="1" x14ac:dyDescent="0.25">
      <c r="B117" s="91"/>
      <c r="C117" s="92" t="s">
        <v>56</v>
      </c>
      <c r="D117" s="92" t="s">
        <v>57</v>
      </c>
      <c r="E117" s="93"/>
      <c r="F117" s="153">
        <v>6636</v>
      </c>
      <c r="G117" s="94">
        <f>G118</f>
        <v>12933.310000000001</v>
      </c>
      <c r="H117" s="94">
        <v>0</v>
      </c>
      <c r="I117" s="90">
        <f t="shared" si="1"/>
        <v>0</v>
      </c>
    </row>
    <row r="118" spans="2:9" ht="35.1" customHeight="1" x14ac:dyDescent="0.25">
      <c r="B118" s="91"/>
      <c r="C118" s="92" t="s">
        <v>62</v>
      </c>
      <c r="D118" s="92" t="s">
        <v>63</v>
      </c>
      <c r="E118" s="93"/>
      <c r="F118" s="153"/>
      <c r="G118" s="94">
        <f>+G119+G120</f>
        <v>12933.310000000001</v>
      </c>
      <c r="H118" s="94">
        <v>0</v>
      </c>
      <c r="I118" s="90"/>
    </row>
    <row r="119" spans="2:9" ht="35.1" customHeight="1" x14ac:dyDescent="0.25">
      <c r="B119" s="16"/>
      <c r="C119" s="15" t="s">
        <v>129</v>
      </c>
      <c r="D119" s="15" t="s">
        <v>130</v>
      </c>
      <c r="E119" s="95" t="s">
        <v>220</v>
      </c>
      <c r="F119" s="154"/>
      <c r="G119" s="96">
        <v>5981.54</v>
      </c>
      <c r="H119" s="96">
        <v>0</v>
      </c>
      <c r="I119" s="148"/>
    </row>
    <row r="120" spans="2:9" ht="35.1" customHeight="1" x14ac:dyDescent="0.25">
      <c r="B120" s="16"/>
      <c r="C120" s="15" t="s">
        <v>133</v>
      </c>
      <c r="D120" s="15" t="s">
        <v>134</v>
      </c>
      <c r="E120" s="95" t="s">
        <v>220</v>
      </c>
      <c r="F120" s="154"/>
      <c r="G120" s="96">
        <v>6951.77</v>
      </c>
      <c r="H120" s="96">
        <v>0</v>
      </c>
      <c r="I120" s="148"/>
    </row>
    <row r="121" spans="2:9" ht="35.1" customHeight="1" x14ac:dyDescent="0.25">
      <c r="B121" s="87" t="s">
        <v>243</v>
      </c>
      <c r="C121" s="186" t="s">
        <v>244</v>
      </c>
      <c r="D121" s="187"/>
      <c r="E121" s="98"/>
      <c r="F121" s="152">
        <v>10617</v>
      </c>
      <c r="G121" s="89">
        <f>G122</f>
        <v>7962.9999999999991</v>
      </c>
      <c r="H121" s="89">
        <f>H122</f>
        <v>0</v>
      </c>
      <c r="I121" s="90">
        <f t="shared" si="1"/>
        <v>0</v>
      </c>
    </row>
    <row r="122" spans="2:9" ht="35.1" customHeight="1" x14ac:dyDescent="0.25">
      <c r="B122" s="91"/>
      <c r="C122" s="92" t="s">
        <v>46</v>
      </c>
      <c r="D122" s="92" t="s">
        <v>47</v>
      </c>
      <c r="E122" s="93"/>
      <c r="F122" s="153">
        <v>10617</v>
      </c>
      <c r="G122" s="94">
        <f>G123</f>
        <v>7962.9999999999991</v>
      </c>
      <c r="H122" s="94">
        <f>H123</f>
        <v>0</v>
      </c>
      <c r="I122" s="90">
        <f t="shared" si="1"/>
        <v>0</v>
      </c>
    </row>
    <row r="123" spans="2:9" ht="35.1" customHeight="1" x14ac:dyDescent="0.25">
      <c r="B123" s="91"/>
      <c r="C123" s="92" t="s">
        <v>56</v>
      </c>
      <c r="D123" s="92" t="s">
        <v>57</v>
      </c>
      <c r="E123" s="93"/>
      <c r="F123" s="153">
        <v>10617</v>
      </c>
      <c r="G123" s="94">
        <f>+G124+G127+G133+G135</f>
        <v>7962.9999999999991</v>
      </c>
      <c r="H123" s="94">
        <f>SUM(H124,H127,H133,H135)</f>
        <v>0</v>
      </c>
      <c r="I123" s="90">
        <f t="shared" si="1"/>
        <v>0</v>
      </c>
    </row>
    <row r="124" spans="2:9" ht="35.1" customHeight="1" x14ac:dyDescent="0.25">
      <c r="B124" s="91"/>
      <c r="C124" s="92" t="s">
        <v>60</v>
      </c>
      <c r="D124" s="92" t="s">
        <v>61</v>
      </c>
      <c r="E124" s="93"/>
      <c r="F124" s="153"/>
      <c r="G124" s="94">
        <f>+G125+G126</f>
        <v>398.16999999999996</v>
      </c>
      <c r="H124" s="94">
        <v>0</v>
      </c>
      <c r="I124" s="90"/>
    </row>
    <row r="125" spans="2:9" ht="35.1" customHeight="1" x14ac:dyDescent="0.25">
      <c r="B125" s="16"/>
      <c r="C125" s="15" t="s">
        <v>105</v>
      </c>
      <c r="D125" s="15" t="s">
        <v>106</v>
      </c>
      <c r="E125" s="95" t="s">
        <v>220</v>
      </c>
      <c r="F125" s="154"/>
      <c r="G125" s="96">
        <v>132.72</v>
      </c>
      <c r="H125" s="96">
        <v>0</v>
      </c>
      <c r="I125" s="148"/>
    </row>
    <row r="126" spans="2:9" ht="35.1" customHeight="1" x14ac:dyDescent="0.25">
      <c r="B126" s="16"/>
      <c r="C126" s="15" t="s">
        <v>111</v>
      </c>
      <c r="D126" s="15" t="s">
        <v>112</v>
      </c>
      <c r="E126" s="95" t="s">
        <v>220</v>
      </c>
      <c r="F126" s="154"/>
      <c r="G126" s="96">
        <v>265.45</v>
      </c>
      <c r="H126" s="96">
        <v>0</v>
      </c>
      <c r="I126" s="148"/>
    </row>
    <row r="127" spans="2:9" ht="35.1" customHeight="1" x14ac:dyDescent="0.25">
      <c r="B127" s="91"/>
      <c r="C127" s="92" t="s">
        <v>62</v>
      </c>
      <c r="D127" s="92" t="s">
        <v>63</v>
      </c>
      <c r="E127" s="93"/>
      <c r="F127" s="153"/>
      <c r="G127" s="94">
        <f>SUM(G128:G132)</f>
        <v>5706.7199999999993</v>
      </c>
      <c r="H127" s="94">
        <f>SUM(H128:H132)</f>
        <v>0</v>
      </c>
      <c r="I127" s="148"/>
    </row>
    <row r="128" spans="2:9" ht="35.1" customHeight="1" x14ac:dyDescent="0.25">
      <c r="B128" s="16"/>
      <c r="C128" s="15" t="s">
        <v>117</v>
      </c>
      <c r="D128" s="15" t="s">
        <v>118</v>
      </c>
      <c r="E128" s="95" t="s">
        <v>220</v>
      </c>
      <c r="F128" s="154"/>
      <c r="G128" s="96">
        <v>398.17</v>
      </c>
      <c r="H128" s="96">
        <v>0</v>
      </c>
      <c r="I128" s="148"/>
    </row>
    <row r="129" spans="2:9" ht="35.1" customHeight="1" x14ac:dyDescent="0.25">
      <c r="B129" s="16"/>
      <c r="C129" s="15" t="s">
        <v>121</v>
      </c>
      <c r="D129" s="15" t="s">
        <v>122</v>
      </c>
      <c r="E129" s="95" t="s">
        <v>220</v>
      </c>
      <c r="F129" s="154"/>
      <c r="G129" s="96">
        <v>398.17</v>
      </c>
      <c r="H129" s="96"/>
      <c r="I129" s="148"/>
    </row>
    <row r="130" spans="2:9" ht="35.1" customHeight="1" x14ac:dyDescent="0.25">
      <c r="B130" s="16"/>
      <c r="C130" s="15" t="s">
        <v>129</v>
      </c>
      <c r="D130" s="15" t="s">
        <v>130</v>
      </c>
      <c r="E130" s="95" t="s">
        <v>220</v>
      </c>
      <c r="F130" s="154"/>
      <c r="G130" s="96">
        <v>2256.15</v>
      </c>
      <c r="H130" s="96">
        <v>0</v>
      </c>
      <c r="I130" s="148"/>
    </row>
    <row r="131" spans="2:9" ht="35.1" customHeight="1" x14ac:dyDescent="0.25">
      <c r="B131" s="16"/>
      <c r="C131" s="15" t="s">
        <v>133</v>
      </c>
      <c r="D131" s="15" t="s">
        <v>134</v>
      </c>
      <c r="E131" s="95" t="s">
        <v>232</v>
      </c>
      <c r="F131" s="154"/>
      <c r="G131" s="96">
        <v>1327</v>
      </c>
      <c r="H131" s="96">
        <v>0</v>
      </c>
      <c r="I131" s="148"/>
    </row>
    <row r="132" spans="2:9" ht="35.1" customHeight="1" x14ac:dyDescent="0.25">
      <c r="B132" s="16"/>
      <c r="C132" s="15" t="s">
        <v>133</v>
      </c>
      <c r="D132" s="15" t="s">
        <v>134</v>
      </c>
      <c r="E132" s="95" t="s">
        <v>220</v>
      </c>
      <c r="F132" s="154"/>
      <c r="G132" s="96">
        <v>1327.23</v>
      </c>
      <c r="H132" s="96"/>
      <c r="I132" s="148"/>
    </row>
    <row r="133" spans="2:9" ht="35.1" customHeight="1" x14ac:dyDescent="0.25">
      <c r="B133" s="91"/>
      <c r="C133" s="92" t="s">
        <v>64</v>
      </c>
      <c r="D133" s="92" t="s">
        <v>65</v>
      </c>
      <c r="E133" s="93"/>
      <c r="F133" s="153"/>
      <c r="G133" s="94">
        <f>SUM(G134:G134)</f>
        <v>663.61</v>
      </c>
      <c r="H133" s="94">
        <v>0</v>
      </c>
      <c r="I133" s="90"/>
    </row>
    <row r="134" spans="2:9" ht="35.1" customHeight="1" x14ac:dyDescent="0.25">
      <c r="B134" s="16"/>
      <c r="C134" s="15" t="s">
        <v>135</v>
      </c>
      <c r="D134" s="15" t="s">
        <v>65</v>
      </c>
      <c r="E134" s="95" t="s">
        <v>220</v>
      </c>
      <c r="F134" s="154"/>
      <c r="G134" s="96">
        <v>663.61</v>
      </c>
      <c r="H134" s="96">
        <v>0</v>
      </c>
      <c r="I134" s="90"/>
    </row>
    <row r="135" spans="2:9" ht="35.1" customHeight="1" x14ac:dyDescent="0.25">
      <c r="B135" s="91"/>
      <c r="C135" s="92" t="s">
        <v>66</v>
      </c>
      <c r="D135" s="92" t="s">
        <v>67</v>
      </c>
      <c r="E135" s="93"/>
      <c r="F135" s="153"/>
      <c r="G135" s="94">
        <f>SUM(G136:G137)</f>
        <v>1194.5</v>
      </c>
      <c r="H135" s="94">
        <f>SUM(H136:H137)</f>
        <v>0</v>
      </c>
      <c r="I135" s="90"/>
    </row>
    <row r="136" spans="2:9" ht="35.1" customHeight="1" x14ac:dyDescent="0.25">
      <c r="B136" s="16"/>
      <c r="C136" s="15" t="s">
        <v>138</v>
      </c>
      <c r="D136" s="15" t="s">
        <v>139</v>
      </c>
      <c r="E136" s="95" t="s">
        <v>220</v>
      </c>
      <c r="F136" s="154"/>
      <c r="G136" s="96">
        <v>398.17</v>
      </c>
      <c r="H136" s="96">
        <v>0</v>
      </c>
      <c r="I136" s="148"/>
    </row>
    <row r="137" spans="2:9" ht="35.1" customHeight="1" x14ac:dyDescent="0.25">
      <c r="B137" s="16"/>
      <c r="C137" s="15" t="s">
        <v>140</v>
      </c>
      <c r="D137" s="15" t="s">
        <v>141</v>
      </c>
      <c r="E137" s="95" t="s">
        <v>220</v>
      </c>
      <c r="F137" s="154"/>
      <c r="G137" s="96">
        <v>796.33</v>
      </c>
      <c r="H137" s="96"/>
      <c r="I137" s="148"/>
    </row>
    <row r="138" spans="2:9" ht="35.1" customHeight="1" x14ac:dyDescent="0.25">
      <c r="B138" s="87" t="s">
        <v>245</v>
      </c>
      <c r="C138" s="186" t="s">
        <v>246</v>
      </c>
      <c r="D138" s="187"/>
      <c r="E138" s="98"/>
      <c r="F138" s="152">
        <v>1327</v>
      </c>
      <c r="G138" s="89">
        <f>G139</f>
        <v>1908</v>
      </c>
      <c r="H138" s="89">
        <f>H139</f>
        <v>1022.1999999999999</v>
      </c>
      <c r="I138" s="90">
        <f t="shared" ref="I138:I191" si="4">H138/G138*100</f>
        <v>53.574423480083851</v>
      </c>
    </row>
    <row r="139" spans="2:9" ht="35.1" customHeight="1" x14ac:dyDescent="0.25">
      <c r="B139" s="91"/>
      <c r="C139" s="92" t="s">
        <v>46</v>
      </c>
      <c r="D139" s="92" t="s">
        <v>47</v>
      </c>
      <c r="E139" s="93"/>
      <c r="F139" s="153">
        <v>1327</v>
      </c>
      <c r="G139" s="94">
        <f>G140</f>
        <v>1908</v>
      </c>
      <c r="H139" s="94">
        <f>H140</f>
        <v>1022.1999999999999</v>
      </c>
      <c r="I139" s="90">
        <f t="shared" si="4"/>
        <v>53.574423480083851</v>
      </c>
    </row>
    <row r="140" spans="2:9" ht="35.1" customHeight="1" x14ac:dyDescent="0.25">
      <c r="B140" s="91"/>
      <c r="C140" s="92" t="s">
        <v>56</v>
      </c>
      <c r="D140" s="92" t="s">
        <v>57</v>
      </c>
      <c r="E140" s="93"/>
      <c r="F140" s="153">
        <v>1327</v>
      </c>
      <c r="G140" s="94">
        <f>G141+G143+G148</f>
        <v>1908</v>
      </c>
      <c r="H140" s="94">
        <f>H141+H143+H148</f>
        <v>1022.1999999999999</v>
      </c>
      <c r="I140" s="90">
        <f t="shared" si="4"/>
        <v>53.574423480083851</v>
      </c>
    </row>
    <row r="141" spans="2:9" ht="35.1" customHeight="1" x14ac:dyDescent="0.25">
      <c r="B141" s="91"/>
      <c r="C141" s="92">
        <v>322</v>
      </c>
      <c r="D141" s="92" t="s">
        <v>61</v>
      </c>
      <c r="E141" s="93"/>
      <c r="F141" s="153"/>
      <c r="G141" s="94">
        <f>G142</f>
        <v>415</v>
      </c>
      <c r="H141" s="94">
        <f>H142</f>
        <v>414.76</v>
      </c>
      <c r="I141" s="90"/>
    </row>
    <row r="142" spans="2:9" ht="35.1" customHeight="1" x14ac:dyDescent="0.25">
      <c r="B142" s="91"/>
      <c r="C142" s="15">
        <v>3222</v>
      </c>
      <c r="D142" s="15" t="s">
        <v>108</v>
      </c>
      <c r="E142" s="95">
        <v>47600</v>
      </c>
      <c r="F142" s="154"/>
      <c r="G142" s="96">
        <v>415</v>
      </c>
      <c r="H142" s="96">
        <v>414.76</v>
      </c>
      <c r="I142" s="148"/>
    </row>
    <row r="143" spans="2:9" ht="35.1" customHeight="1" x14ac:dyDescent="0.25">
      <c r="B143" s="91"/>
      <c r="C143" s="92" t="s">
        <v>62</v>
      </c>
      <c r="D143" s="92" t="s">
        <v>63</v>
      </c>
      <c r="E143" s="93"/>
      <c r="F143" s="153"/>
      <c r="G143" s="94">
        <f>SUM(G144:G147)</f>
        <v>1327</v>
      </c>
      <c r="H143" s="94">
        <f>SUM(H144:H147)</f>
        <v>441.53999999999996</v>
      </c>
      <c r="I143" s="90"/>
    </row>
    <row r="144" spans="2:9" ht="35.1" customHeight="1" x14ac:dyDescent="0.25">
      <c r="B144" s="16"/>
      <c r="C144" s="15" t="s">
        <v>121</v>
      </c>
      <c r="D144" s="15" t="s">
        <v>122</v>
      </c>
      <c r="E144" s="95" t="s">
        <v>220</v>
      </c>
      <c r="F144" s="154"/>
      <c r="G144" s="96">
        <v>265.22000000000003</v>
      </c>
      <c r="H144" s="96">
        <v>40</v>
      </c>
      <c r="I144" s="148"/>
    </row>
    <row r="145" spans="2:9" ht="35.1" customHeight="1" x14ac:dyDescent="0.25">
      <c r="B145" s="16"/>
      <c r="C145" s="15" t="s">
        <v>125</v>
      </c>
      <c r="D145" s="15" t="s">
        <v>126</v>
      </c>
      <c r="E145" s="95" t="s">
        <v>220</v>
      </c>
      <c r="F145" s="154"/>
      <c r="G145" s="96">
        <v>530.88</v>
      </c>
      <c r="H145" s="96">
        <v>193.75</v>
      </c>
      <c r="I145" s="148"/>
    </row>
    <row r="146" spans="2:9" ht="35.1" customHeight="1" x14ac:dyDescent="0.25">
      <c r="B146" s="16"/>
      <c r="C146" s="15" t="s">
        <v>129</v>
      </c>
      <c r="D146" s="15" t="s">
        <v>130</v>
      </c>
      <c r="E146" s="95" t="s">
        <v>220</v>
      </c>
      <c r="F146" s="154"/>
      <c r="G146" s="96">
        <v>265.45</v>
      </c>
      <c r="H146" s="96">
        <v>207.79</v>
      </c>
      <c r="I146" s="148"/>
    </row>
    <row r="147" spans="2:9" ht="35.1" customHeight="1" x14ac:dyDescent="0.25">
      <c r="B147" s="16"/>
      <c r="C147" s="15" t="s">
        <v>133</v>
      </c>
      <c r="D147" s="15" t="s">
        <v>134</v>
      </c>
      <c r="E147" s="95" t="s">
        <v>220</v>
      </c>
      <c r="F147" s="154"/>
      <c r="G147" s="96">
        <v>265.45</v>
      </c>
      <c r="H147" s="96"/>
      <c r="I147" s="148"/>
    </row>
    <row r="148" spans="2:9" ht="35.1" customHeight="1" x14ac:dyDescent="0.25">
      <c r="B148" s="16"/>
      <c r="C148" s="92">
        <v>329</v>
      </c>
      <c r="D148" s="92" t="s">
        <v>67</v>
      </c>
      <c r="E148" s="95"/>
      <c r="F148" s="154"/>
      <c r="G148" s="94">
        <f>G149</f>
        <v>166</v>
      </c>
      <c r="H148" s="96">
        <f>H149</f>
        <v>165.9</v>
      </c>
      <c r="I148" s="90"/>
    </row>
    <row r="149" spans="2:9" ht="35.1" customHeight="1" x14ac:dyDescent="0.25">
      <c r="B149" s="16"/>
      <c r="C149" s="15">
        <v>3299</v>
      </c>
      <c r="D149" s="15" t="s">
        <v>147</v>
      </c>
      <c r="E149" s="95">
        <v>47600</v>
      </c>
      <c r="F149" s="154"/>
      <c r="G149" s="96">
        <v>166</v>
      </c>
      <c r="H149" s="96">
        <v>165.9</v>
      </c>
      <c r="I149" s="148"/>
    </row>
    <row r="150" spans="2:9" ht="35.1" customHeight="1" x14ac:dyDescent="0.25">
      <c r="B150" s="87" t="s">
        <v>247</v>
      </c>
      <c r="C150" s="186" t="s">
        <v>248</v>
      </c>
      <c r="D150" s="187"/>
      <c r="E150" s="98"/>
      <c r="F150" s="152">
        <v>5309</v>
      </c>
      <c r="G150" s="89">
        <f>G151</f>
        <v>5972</v>
      </c>
      <c r="H150" s="99">
        <v>0</v>
      </c>
      <c r="I150" s="90">
        <f t="shared" si="4"/>
        <v>0</v>
      </c>
    </row>
    <row r="151" spans="2:9" ht="35.1" customHeight="1" x14ac:dyDescent="0.25">
      <c r="B151" s="91"/>
      <c r="C151" s="92" t="s">
        <v>72</v>
      </c>
      <c r="D151" s="92" t="s">
        <v>73</v>
      </c>
      <c r="E151" s="93"/>
      <c r="F151" s="153">
        <v>5309</v>
      </c>
      <c r="G151" s="94">
        <f>G152</f>
        <v>5972</v>
      </c>
      <c r="H151" s="94">
        <v>0</v>
      </c>
      <c r="I151" s="90">
        <f t="shared" si="4"/>
        <v>0</v>
      </c>
    </row>
    <row r="152" spans="2:9" ht="35.1" customHeight="1" x14ac:dyDescent="0.25">
      <c r="B152" s="91"/>
      <c r="C152" s="92" t="s">
        <v>78</v>
      </c>
      <c r="D152" s="92" t="s">
        <v>79</v>
      </c>
      <c r="E152" s="93"/>
      <c r="F152" s="153">
        <v>5309</v>
      </c>
      <c r="G152" s="94">
        <f>G153</f>
        <v>5972</v>
      </c>
      <c r="H152" s="94">
        <v>0</v>
      </c>
      <c r="I152" s="90">
        <f t="shared" si="4"/>
        <v>0</v>
      </c>
    </row>
    <row r="153" spans="2:9" ht="35.1" customHeight="1" x14ac:dyDescent="0.25">
      <c r="B153" s="91"/>
      <c r="C153" s="92" t="s">
        <v>82</v>
      </c>
      <c r="D153" s="92" t="s">
        <v>83</v>
      </c>
      <c r="E153" s="93"/>
      <c r="F153" s="153"/>
      <c r="G153" s="94">
        <f>G154+G155</f>
        <v>5972</v>
      </c>
      <c r="H153" s="94">
        <v>0</v>
      </c>
      <c r="I153" s="90"/>
    </row>
    <row r="154" spans="2:9" ht="35.1" customHeight="1" x14ac:dyDescent="0.25">
      <c r="B154" s="16"/>
      <c r="C154" s="15" t="s">
        <v>168</v>
      </c>
      <c r="D154" s="15" t="s">
        <v>169</v>
      </c>
      <c r="E154" s="95" t="s">
        <v>220</v>
      </c>
      <c r="F154" s="154"/>
      <c r="G154" s="96">
        <v>5309</v>
      </c>
      <c r="H154" s="96">
        <v>0</v>
      </c>
      <c r="I154" s="148"/>
    </row>
    <row r="155" spans="2:9" ht="35.1" customHeight="1" x14ac:dyDescent="0.25">
      <c r="B155" s="16"/>
      <c r="C155" s="15" t="s">
        <v>168</v>
      </c>
      <c r="D155" s="15" t="s">
        <v>169</v>
      </c>
      <c r="E155" s="95" t="s">
        <v>233</v>
      </c>
      <c r="F155" s="154"/>
      <c r="G155" s="96">
        <v>663</v>
      </c>
      <c r="H155" s="96">
        <v>0</v>
      </c>
      <c r="I155" s="148"/>
    </row>
    <row r="156" spans="2:9" ht="35.1" customHeight="1" x14ac:dyDescent="0.25">
      <c r="B156" s="87" t="s">
        <v>249</v>
      </c>
      <c r="C156" s="186" t="s">
        <v>250</v>
      </c>
      <c r="D156" s="192"/>
      <c r="E156" s="88"/>
      <c r="F156" s="152">
        <v>57071</v>
      </c>
      <c r="G156" s="89">
        <f t="shared" ref="G156:H158" si="5">G157</f>
        <v>56340.909999999996</v>
      </c>
      <c r="H156" s="89">
        <f t="shared" si="5"/>
        <v>3492.7900000000004</v>
      </c>
      <c r="I156" s="90">
        <f t="shared" si="4"/>
        <v>6.1993851359518342</v>
      </c>
    </row>
    <row r="157" spans="2:9" ht="35.1" customHeight="1" x14ac:dyDescent="0.25">
      <c r="B157" s="91"/>
      <c r="C157" s="92" t="s">
        <v>46</v>
      </c>
      <c r="D157" s="92" t="s">
        <v>47</v>
      </c>
      <c r="E157" s="93"/>
      <c r="F157" s="153">
        <v>57071</v>
      </c>
      <c r="G157" s="94">
        <f t="shared" si="5"/>
        <v>56340.909999999996</v>
      </c>
      <c r="H157" s="94">
        <f t="shared" si="5"/>
        <v>3492.7900000000004</v>
      </c>
      <c r="I157" s="90">
        <f t="shared" si="4"/>
        <v>6.1993851359518342</v>
      </c>
    </row>
    <row r="158" spans="2:9" ht="35.1" customHeight="1" x14ac:dyDescent="0.25">
      <c r="B158" s="91"/>
      <c r="C158" s="92" t="s">
        <v>56</v>
      </c>
      <c r="D158" s="92" t="s">
        <v>57</v>
      </c>
      <c r="E158" s="93"/>
      <c r="F158" s="153">
        <v>57071</v>
      </c>
      <c r="G158" s="94">
        <f t="shared" si="5"/>
        <v>56340.909999999996</v>
      </c>
      <c r="H158" s="94">
        <f t="shared" si="5"/>
        <v>3492.7900000000004</v>
      </c>
      <c r="I158" s="90">
        <f t="shared" si="4"/>
        <v>6.1993851359518342</v>
      </c>
    </row>
    <row r="159" spans="2:9" ht="35.1" customHeight="1" x14ac:dyDescent="0.25">
      <c r="B159" s="91"/>
      <c r="C159" s="92" t="s">
        <v>62</v>
      </c>
      <c r="D159" s="92" t="s">
        <v>63</v>
      </c>
      <c r="E159" s="93"/>
      <c r="F159" s="153"/>
      <c r="G159" s="94">
        <f>G160+G161+G162</f>
        <v>56340.909999999996</v>
      </c>
      <c r="H159" s="94">
        <f>SUM(H160:H162)</f>
        <v>3492.7900000000004</v>
      </c>
      <c r="I159" s="90"/>
    </row>
    <row r="160" spans="2:9" ht="35.1" customHeight="1" x14ac:dyDescent="0.25">
      <c r="B160" s="16"/>
      <c r="C160" s="15" t="s">
        <v>129</v>
      </c>
      <c r="D160" s="15" t="s">
        <v>130</v>
      </c>
      <c r="E160" s="95" t="s">
        <v>220</v>
      </c>
      <c r="F160" s="154"/>
      <c r="G160" s="96">
        <v>6000</v>
      </c>
      <c r="H160" s="96">
        <v>701.61</v>
      </c>
      <c r="I160" s="148"/>
    </row>
    <row r="161" spans="2:9" ht="35.1" customHeight="1" x14ac:dyDescent="0.25">
      <c r="B161" s="16"/>
      <c r="C161" s="15" t="s">
        <v>133</v>
      </c>
      <c r="D161" s="15" t="s">
        <v>134</v>
      </c>
      <c r="E161" s="95" t="s">
        <v>220</v>
      </c>
      <c r="F161" s="154"/>
      <c r="G161" s="96">
        <v>48542.52</v>
      </c>
      <c r="H161" s="96">
        <f>312.5+680.29+1798.39</f>
        <v>2791.1800000000003</v>
      </c>
      <c r="I161" s="148"/>
    </row>
    <row r="162" spans="2:9" ht="35.1" customHeight="1" x14ac:dyDescent="0.25">
      <c r="B162" s="16"/>
      <c r="C162" s="15" t="s">
        <v>133</v>
      </c>
      <c r="D162" s="15" t="s">
        <v>134</v>
      </c>
      <c r="E162" s="95" t="s">
        <v>233</v>
      </c>
      <c r="F162" s="154"/>
      <c r="G162" s="96">
        <v>1798.39</v>
      </c>
      <c r="H162" s="96">
        <v>0</v>
      </c>
      <c r="I162" s="148"/>
    </row>
    <row r="163" spans="2:9" ht="35.1" customHeight="1" x14ac:dyDescent="0.25">
      <c r="B163" s="87" t="s">
        <v>251</v>
      </c>
      <c r="C163" s="186" t="s">
        <v>252</v>
      </c>
      <c r="D163" s="187"/>
      <c r="E163" s="98"/>
      <c r="F163" s="152">
        <v>14864</v>
      </c>
      <c r="G163" s="89">
        <f>G164</f>
        <v>17293.8</v>
      </c>
      <c r="H163" s="99">
        <v>0</v>
      </c>
      <c r="I163" s="90">
        <f t="shared" si="4"/>
        <v>0</v>
      </c>
    </row>
    <row r="164" spans="2:9" ht="35.1" customHeight="1" x14ac:dyDescent="0.25">
      <c r="B164" s="91"/>
      <c r="C164" s="92" t="s">
        <v>46</v>
      </c>
      <c r="D164" s="92" t="s">
        <v>47</v>
      </c>
      <c r="E164" s="93"/>
      <c r="F164" s="153">
        <v>14864</v>
      </c>
      <c r="G164" s="94">
        <f>G165</f>
        <v>17293.8</v>
      </c>
      <c r="H164" s="94">
        <v>0</v>
      </c>
      <c r="I164" s="90">
        <f t="shared" si="4"/>
        <v>0</v>
      </c>
    </row>
    <row r="165" spans="2:9" ht="35.1" customHeight="1" x14ac:dyDescent="0.25">
      <c r="B165" s="91"/>
      <c r="C165" s="92" t="s">
        <v>56</v>
      </c>
      <c r="D165" s="92" t="s">
        <v>57</v>
      </c>
      <c r="E165" s="93"/>
      <c r="F165" s="153">
        <v>14864</v>
      </c>
      <c r="G165" s="94">
        <f>+G166</f>
        <v>17293.8</v>
      </c>
      <c r="H165" s="94">
        <v>0</v>
      </c>
      <c r="I165" s="90">
        <f t="shared" si="4"/>
        <v>0</v>
      </c>
    </row>
    <row r="166" spans="2:9" ht="35.1" customHeight="1" x14ac:dyDescent="0.25">
      <c r="B166" s="91"/>
      <c r="C166" s="92" t="s">
        <v>62</v>
      </c>
      <c r="D166" s="92" t="s">
        <v>63</v>
      </c>
      <c r="E166" s="93"/>
      <c r="F166" s="153"/>
      <c r="G166" s="94">
        <f>SUM(G167:G172)</f>
        <v>17293.8</v>
      </c>
      <c r="H166" s="94">
        <v>0</v>
      </c>
      <c r="I166" s="90"/>
    </row>
    <row r="167" spans="2:9" ht="35.1" customHeight="1" x14ac:dyDescent="0.25">
      <c r="B167" s="16"/>
      <c r="C167" s="15" t="s">
        <v>129</v>
      </c>
      <c r="D167" s="15" t="s">
        <v>130</v>
      </c>
      <c r="E167" s="95" t="s">
        <v>221</v>
      </c>
      <c r="F167" s="154"/>
      <c r="G167" s="96">
        <v>5308.54</v>
      </c>
      <c r="H167" s="96">
        <v>0</v>
      </c>
      <c r="I167" s="148"/>
    </row>
    <row r="168" spans="2:9" ht="35.1" customHeight="1" x14ac:dyDescent="0.25">
      <c r="B168" s="16"/>
      <c r="C168" s="15" t="s">
        <v>129</v>
      </c>
      <c r="D168" s="15" t="s">
        <v>130</v>
      </c>
      <c r="E168" s="95" t="s">
        <v>220</v>
      </c>
      <c r="F168" s="154"/>
      <c r="G168" s="96">
        <v>2654.32</v>
      </c>
      <c r="H168" s="96">
        <v>0</v>
      </c>
      <c r="I168" s="148"/>
    </row>
    <row r="169" spans="2:9" ht="35.1" customHeight="1" x14ac:dyDescent="0.25">
      <c r="B169" s="16"/>
      <c r="C169" s="15" t="s">
        <v>129</v>
      </c>
      <c r="D169" s="15" t="s">
        <v>130</v>
      </c>
      <c r="E169" s="95" t="s">
        <v>226</v>
      </c>
      <c r="F169" s="154"/>
      <c r="G169" s="96">
        <v>265</v>
      </c>
      <c r="H169" s="96">
        <v>0</v>
      </c>
      <c r="I169" s="148"/>
    </row>
    <row r="170" spans="2:9" ht="35.1" customHeight="1" x14ac:dyDescent="0.25">
      <c r="B170" s="16"/>
      <c r="C170" s="15">
        <v>3238</v>
      </c>
      <c r="D170" s="15" t="s">
        <v>132</v>
      </c>
      <c r="E170" s="95">
        <v>47600</v>
      </c>
      <c r="F170" s="154"/>
      <c r="G170" s="96">
        <v>2429.8000000000002</v>
      </c>
      <c r="H170" s="96"/>
      <c r="I170" s="148"/>
    </row>
    <row r="171" spans="2:9" ht="35.1" customHeight="1" x14ac:dyDescent="0.25">
      <c r="B171" s="16"/>
      <c r="C171" s="15" t="s">
        <v>133</v>
      </c>
      <c r="D171" s="15" t="s">
        <v>134</v>
      </c>
      <c r="E171" s="95" t="s">
        <v>220</v>
      </c>
      <c r="F171" s="154"/>
      <c r="G171" s="96">
        <v>3981.68</v>
      </c>
      <c r="H171" s="96">
        <v>0</v>
      </c>
      <c r="I171" s="148"/>
    </row>
    <row r="172" spans="2:9" ht="35.1" customHeight="1" x14ac:dyDescent="0.25">
      <c r="B172" s="16"/>
      <c r="C172" s="15" t="s">
        <v>133</v>
      </c>
      <c r="D172" s="15" t="s">
        <v>134</v>
      </c>
      <c r="E172" s="95" t="s">
        <v>221</v>
      </c>
      <c r="F172" s="154"/>
      <c r="G172" s="96">
        <v>2654.46</v>
      </c>
      <c r="H172" s="96">
        <v>0</v>
      </c>
      <c r="I172" s="148"/>
    </row>
    <row r="173" spans="2:9" ht="35.1" customHeight="1" x14ac:dyDescent="0.25">
      <c r="B173" s="87" t="s">
        <v>253</v>
      </c>
      <c r="C173" s="186" t="s">
        <v>254</v>
      </c>
      <c r="D173" s="187"/>
      <c r="E173" s="98"/>
      <c r="F173" s="155">
        <v>13272</v>
      </c>
      <c r="G173" s="99">
        <f>G174</f>
        <v>13272</v>
      </c>
      <c r="H173" s="99">
        <v>0</v>
      </c>
      <c r="I173" s="90">
        <f t="shared" si="4"/>
        <v>0</v>
      </c>
    </row>
    <row r="174" spans="2:9" ht="35.1" customHeight="1" x14ac:dyDescent="0.25">
      <c r="B174" s="91"/>
      <c r="C174" s="92" t="s">
        <v>46</v>
      </c>
      <c r="D174" s="92" t="s">
        <v>47</v>
      </c>
      <c r="E174" s="93"/>
      <c r="F174" s="153">
        <v>13272</v>
      </c>
      <c r="G174" s="94">
        <f>G175</f>
        <v>13272</v>
      </c>
      <c r="H174" s="94">
        <v>0</v>
      </c>
      <c r="I174" s="90">
        <f t="shared" si="4"/>
        <v>0</v>
      </c>
    </row>
    <row r="175" spans="2:9" ht="35.1" customHeight="1" x14ac:dyDescent="0.25">
      <c r="B175" s="91"/>
      <c r="C175" s="92" t="s">
        <v>56</v>
      </c>
      <c r="D175" s="92" t="s">
        <v>57</v>
      </c>
      <c r="E175" s="93"/>
      <c r="F175" s="153">
        <v>13272</v>
      </c>
      <c r="G175" s="94">
        <f>G176</f>
        <v>13272</v>
      </c>
      <c r="H175" s="94">
        <v>0</v>
      </c>
      <c r="I175" s="90">
        <f t="shared" si="4"/>
        <v>0</v>
      </c>
    </row>
    <row r="176" spans="2:9" ht="35.1" customHeight="1" x14ac:dyDescent="0.25">
      <c r="B176" s="91"/>
      <c r="C176" s="92" t="s">
        <v>62</v>
      </c>
      <c r="D176" s="92" t="s">
        <v>63</v>
      </c>
      <c r="E176" s="93"/>
      <c r="F176" s="153"/>
      <c r="G176" s="94">
        <f>G177+G178</f>
        <v>13272</v>
      </c>
      <c r="H176" s="94">
        <v>0</v>
      </c>
      <c r="I176" s="90"/>
    </row>
    <row r="177" spans="2:9" ht="35.1" customHeight="1" x14ac:dyDescent="0.25">
      <c r="B177" s="16"/>
      <c r="C177" s="15" t="s">
        <v>129</v>
      </c>
      <c r="D177" s="15" t="s">
        <v>130</v>
      </c>
      <c r="E177" s="95" t="s">
        <v>221</v>
      </c>
      <c r="F177" s="154"/>
      <c r="G177" s="96">
        <v>4894</v>
      </c>
      <c r="H177" s="96">
        <v>0</v>
      </c>
      <c r="I177" s="148"/>
    </row>
    <row r="178" spans="2:9" ht="35.1" customHeight="1" x14ac:dyDescent="0.25">
      <c r="B178" s="16"/>
      <c r="C178" s="15" t="s">
        <v>129</v>
      </c>
      <c r="D178" s="15" t="s">
        <v>130</v>
      </c>
      <c r="E178" s="95" t="s">
        <v>220</v>
      </c>
      <c r="F178" s="154"/>
      <c r="G178" s="96">
        <v>8378</v>
      </c>
      <c r="H178" s="96">
        <v>0</v>
      </c>
      <c r="I178" s="148"/>
    </row>
    <row r="179" spans="2:9" ht="35.1" customHeight="1" x14ac:dyDescent="0.25">
      <c r="B179" s="87" t="s">
        <v>255</v>
      </c>
      <c r="C179" s="186" t="s">
        <v>240</v>
      </c>
      <c r="D179" s="191"/>
      <c r="E179" s="88"/>
      <c r="F179" s="152">
        <v>30792</v>
      </c>
      <c r="G179" s="89">
        <f>G180+G189+G204+G227</f>
        <v>87672.760000000009</v>
      </c>
      <c r="H179" s="89">
        <f>H180+H189+H204+H227</f>
        <v>21950.559999999998</v>
      </c>
      <c r="I179" s="90">
        <f t="shared" si="4"/>
        <v>25.036921388125567</v>
      </c>
    </row>
    <row r="180" spans="2:9" ht="35.1" customHeight="1" x14ac:dyDescent="0.25">
      <c r="B180" s="87" t="s">
        <v>256</v>
      </c>
      <c r="C180" s="186" t="s">
        <v>257</v>
      </c>
      <c r="D180" s="192"/>
      <c r="E180" s="88"/>
      <c r="F180" s="152">
        <v>6636</v>
      </c>
      <c r="G180" s="89">
        <f>G181</f>
        <v>19373</v>
      </c>
      <c r="H180" s="89">
        <f>H181</f>
        <v>1845</v>
      </c>
      <c r="I180" s="90">
        <f t="shared" si="4"/>
        <v>9.523563722706859</v>
      </c>
    </row>
    <row r="181" spans="2:9" ht="35.1" customHeight="1" x14ac:dyDescent="0.25">
      <c r="B181" s="91"/>
      <c r="C181" s="92" t="s">
        <v>46</v>
      </c>
      <c r="D181" s="92" t="s">
        <v>47</v>
      </c>
      <c r="E181" s="93"/>
      <c r="F181" s="153">
        <v>6636</v>
      </c>
      <c r="G181" s="94">
        <f>G182</f>
        <v>19373</v>
      </c>
      <c r="H181" s="94">
        <f>H182</f>
        <v>1845</v>
      </c>
      <c r="I181" s="90">
        <f t="shared" si="4"/>
        <v>9.523563722706859</v>
      </c>
    </row>
    <row r="182" spans="2:9" ht="35.1" customHeight="1" x14ac:dyDescent="0.25">
      <c r="B182" s="91"/>
      <c r="C182" s="92" t="s">
        <v>56</v>
      </c>
      <c r="D182" s="92" t="s">
        <v>57</v>
      </c>
      <c r="E182" s="93"/>
      <c r="F182" s="153">
        <v>6636</v>
      </c>
      <c r="G182" s="94">
        <f>+G185+G183</f>
        <v>19373</v>
      </c>
      <c r="H182" s="94">
        <f>SUM(H185)</f>
        <v>1845</v>
      </c>
      <c r="I182" s="90">
        <f t="shared" si="4"/>
        <v>9.523563722706859</v>
      </c>
    </row>
    <row r="183" spans="2:9" ht="35.1" customHeight="1" x14ac:dyDescent="0.25">
      <c r="B183" s="91"/>
      <c r="C183" s="92">
        <v>321</v>
      </c>
      <c r="D183" s="92" t="s">
        <v>59</v>
      </c>
      <c r="E183" s="93"/>
      <c r="F183" s="153"/>
      <c r="G183" s="94">
        <f>G184</f>
        <v>2000</v>
      </c>
      <c r="H183" s="94"/>
      <c r="I183" s="90"/>
    </row>
    <row r="184" spans="2:9" ht="35.1" customHeight="1" x14ac:dyDescent="0.25">
      <c r="B184" s="91"/>
      <c r="C184" s="15">
        <v>3211</v>
      </c>
      <c r="D184" s="15" t="s">
        <v>98</v>
      </c>
      <c r="E184" s="95">
        <v>55359</v>
      </c>
      <c r="F184" s="154"/>
      <c r="G184" s="96">
        <v>2000</v>
      </c>
      <c r="H184" s="94"/>
      <c r="I184" s="148"/>
    </row>
    <row r="185" spans="2:9" ht="35.1" customHeight="1" x14ac:dyDescent="0.25">
      <c r="B185" s="91"/>
      <c r="C185" s="92" t="s">
        <v>62</v>
      </c>
      <c r="D185" s="92" t="s">
        <v>63</v>
      </c>
      <c r="E185" s="93"/>
      <c r="F185" s="153"/>
      <c r="G185" s="94">
        <f>SUM(G186:G188)</f>
        <v>17373</v>
      </c>
      <c r="H185" s="94">
        <f>SUM(H186:H188)</f>
        <v>1845</v>
      </c>
      <c r="I185" s="90"/>
    </row>
    <row r="186" spans="2:9" ht="35.1" customHeight="1" x14ac:dyDescent="0.25">
      <c r="B186" s="16"/>
      <c r="C186" s="15" t="s">
        <v>129</v>
      </c>
      <c r="D186" s="15" t="s">
        <v>130</v>
      </c>
      <c r="E186" s="95" t="s">
        <v>233</v>
      </c>
      <c r="F186" s="154"/>
      <c r="G186" s="96">
        <v>4237</v>
      </c>
      <c r="H186" s="96">
        <v>1025</v>
      </c>
      <c r="I186" s="148"/>
    </row>
    <row r="187" spans="2:9" ht="35.1" customHeight="1" x14ac:dyDescent="0.25">
      <c r="B187" s="16"/>
      <c r="C187" s="15" t="s">
        <v>129</v>
      </c>
      <c r="D187" s="15" t="s">
        <v>130</v>
      </c>
      <c r="E187" s="95" t="s">
        <v>220</v>
      </c>
      <c r="F187" s="154"/>
      <c r="G187" s="96">
        <f>3981.68+4000</f>
        <v>7981.68</v>
      </c>
      <c r="H187" s="96">
        <v>820</v>
      </c>
      <c r="I187" s="148"/>
    </row>
    <row r="188" spans="2:9" ht="35.1" customHeight="1" x14ac:dyDescent="0.25">
      <c r="B188" s="16"/>
      <c r="C188" s="15" t="s">
        <v>133</v>
      </c>
      <c r="D188" s="15" t="s">
        <v>134</v>
      </c>
      <c r="E188" s="95" t="s">
        <v>220</v>
      </c>
      <c r="F188" s="154"/>
      <c r="G188" s="96">
        <f>2654.32+2500</f>
        <v>5154.32</v>
      </c>
      <c r="H188" s="96"/>
      <c r="I188" s="148"/>
    </row>
    <row r="189" spans="2:9" ht="35.1" customHeight="1" x14ac:dyDescent="0.25">
      <c r="B189" s="87" t="s">
        <v>258</v>
      </c>
      <c r="C189" s="186" t="s">
        <v>259</v>
      </c>
      <c r="D189" s="192"/>
      <c r="E189" s="88"/>
      <c r="F189" s="152">
        <v>9291</v>
      </c>
      <c r="G189" s="89">
        <f>G190</f>
        <v>37632.76</v>
      </c>
      <c r="H189" s="89">
        <f>H190</f>
        <v>12108.2</v>
      </c>
      <c r="I189" s="90">
        <f t="shared" si="4"/>
        <v>32.17462657535615</v>
      </c>
    </row>
    <row r="190" spans="2:9" ht="35.1" customHeight="1" x14ac:dyDescent="0.25">
      <c r="B190" s="91"/>
      <c r="C190" s="92" t="s">
        <v>46</v>
      </c>
      <c r="D190" s="92" t="s">
        <v>47</v>
      </c>
      <c r="E190" s="93"/>
      <c r="F190" s="153">
        <v>9291</v>
      </c>
      <c r="G190" s="94">
        <f>G191</f>
        <v>37632.76</v>
      </c>
      <c r="H190" s="94">
        <f>H191</f>
        <v>12108.2</v>
      </c>
      <c r="I190" s="90">
        <f t="shared" si="4"/>
        <v>32.17462657535615</v>
      </c>
    </row>
    <row r="191" spans="2:9" ht="35.1" customHeight="1" x14ac:dyDescent="0.25">
      <c r="B191" s="91"/>
      <c r="C191" s="92" t="s">
        <v>56</v>
      </c>
      <c r="D191" s="92" t="s">
        <v>57</v>
      </c>
      <c r="E191" s="93"/>
      <c r="F191" s="153">
        <v>9291</v>
      </c>
      <c r="G191" s="94">
        <f>G192+G196+G201</f>
        <v>37632.76</v>
      </c>
      <c r="H191" s="94">
        <f>H192+H196+H201</f>
        <v>12108.2</v>
      </c>
      <c r="I191" s="90">
        <f t="shared" si="4"/>
        <v>32.17462657535615</v>
      </c>
    </row>
    <row r="192" spans="2:9" ht="35.1" customHeight="1" x14ac:dyDescent="0.25">
      <c r="B192" s="91"/>
      <c r="C192" s="92" t="s">
        <v>60</v>
      </c>
      <c r="D192" s="92" t="s">
        <v>61</v>
      </c>
      <c r="E192" s="93"/>
      <c r="F192" s="153"/>
      <c r="G192" s="94">
        <f>SUM(G193:G195)</f>
        <v>300</v>
      </c>
      <c r="H192" s="94">
        <f>H193+H194+H195</f>
        <v>161.61000000000001</v>
      </c>
      <c r="I192" s="90"/>
    </row>
    <row r="193" spans="2:9" ht="35.1" customHeight="1" x14ac:dyDescent="0.25">
      <c r="B193" s="16" t="s">
        <v>260</v>
      </c>
      <c r="C193" s="15" t="s">
        <v>105</v>
      </c>
      <c r="D193" s="15" t="s">
        <v>106</v>
      </c>
      <c r="E193" s="95" t="s">
        <v>220</v>
      </c>
      <c r="F193" s="154"/>
      <c r="G193" s="96">
        <v>0</v>
      </c>
      <c r="H193" s="96">
        <v>0</v>
      </c>
      <c r="I193" s="148"/>
    </row>
    <row r="194" spans="2:9" ht="35.1" customHeight="1" x14ac:dyDescent="0.25">
      <c r="B194" s="16"/>
      <c r="C194" s="15">
        <v>3222</v>
      </c>
      <c r="D194" s="15" t="s">
        <v>108</v>
      </c>
      <c r="E194" s="95">
        <v>47600</v>
      </c>
      <c r="F194" s="154"/>
      <c r="G194" s="96">
        <v>300</v>
      </c>
      <c r="H194" s="96">
        <v>161.61000000000001</v>
      </c>
      <c r="I194" s="148"/>
    </row>
    <row r="195" spans="2:9" ht="35.1" customHeight="1" x14ac:dyDescent="0.25">
      <c r="B195" s="16" t="s">
        <v>261</v>
      </c>
      <c r="C195" s="15" t="s">
        <v>111</v>
      </c>
      <c r="D195" s="15" t="s">
        <v>112</v>
      </c>
      <c r="E195" s="95" t="s">
        <v>220</v>
      </c>
      <c r="F195" s="154"/>
      <c r="G195" s="96">
        <v>0</v>
      </c>
      <c r="H195" s="96">
        <v>0</v>
      </c>
      <c r="I195" s="148"/>
    </row>
    <row r="196" spans="2:9" ht="35.1" customHeight="1" x14ac:dyDescent="0.25">
      <c r="B196" s="91"/>
      <c r="C196" s="92" t="s">
        <v>62</v>
      </c>
      <c r="D196" s="92" t="s">
        <v>63</v>
      </c>
      <c r="E196" s="93"/>
      <c r="F196" s="153"/>
      <c r="G196" s="94">
        <f>SUM(G197:G200)</f>
        <v>37232.76</v>
      </c>
      <c r="H196" s="94">
        <f>SUM(H197:H200)</f>
        <v>11909.09</v>
      </c>
      <c r="I196" s="90"/>
    </row>
    <row r="197" spans="2:9" ht="35.1" customHeight="1" x14ac:dyDescent="0.25">
      <c r="B197" s="16" t="s">
        <v>262</v>
      </c>
      <c r="C197" s="15" t="s">
        <v>125</v>
      </c>
      <c r="D197" s="15" t="s">
        <v>126</v>
      </c>
      <c r="E197" s="95" t="s">
        <v>220</v>
      </c>
      <c r="F197" s="154"/>
      <c r="G197" s="96">
        <v>500</v>
      </c>
      <c r="H197" s="96">
        <v>175</v>
      </c>
      <c r="I197" s="148"/>
    </row>
    <row r="198" spans="2:9" ht="35.1" customHeight="1" x14ac:dyDescent="0.25">
      <c r="B198" s="16" t="s">
        <v>263</v>
      </c>
      <c r="C198" s="15" t="s">
        <v>129</v>
      </c>
      <c r="D198" s="15" t="s">
        <v>130</v>
      </c>
      <c r="E198" s="95" t="s">
        <v>220</v>
      </c>
      <c r="F198" s="154"/>
      <c r="G198" s="96">
        <f>2654.86+4493.53</f>
        <v>7148.3899999999994</v>
      </c>
      <c r="H198" s="96">
        <v>3500</v>
      </c>
      <c r="I198" s="148"/>
    </row>
    <row r="199" spans="2:9" ht="35.1" customHeight="1" x14ac:dyDescent="0.25">
      <c r="B199" s="16" t="s">
        <v>264</v>
      </c>
      <c r="C199" s="15" t="s">
        <v>133</v>
      </c>
      <c r="D199" s="15" t="s">
        <v>134</v>
      </c>
      <c r="E199" s="95" t="s">
        <v>220</v>
      </c>
      <c r="F199" s="154"/>
      <c r="G199" s="96">
        <f>6636.14+19100</f>
        <v>25736.14</v>
      </c>
      <c r="H199" s="96">
        <v>6906.86</v>
      </c>
      <c r="I199" s="148"/>
    </row>
    <row r="200" spans="2:9" ht="35.1" customHeight="1" x14ac:dyDescent="0.25">
      <c r="B200" s="16" t="s">
        <v>265</v>
      </c>
      <c r="C200" s="15" t="s">
        <v>133</v>
      </c>
      <c r="D200" s="15" t="s">
        <v>134</v>
      </c>
      <c r="E200" s="95" t="s">
        <v>233</v>
      </c>
      <c r="F200" s="154"/>
      <c r="G200" s="96">
        <f>2521+1327.23</f>
        <v>3848.23</v>
      </c>
      <c r="H200" s="96">
        <v>1327.23</v>
      </c>
      <c r="I200" s="148"/>
    </row>
    <row r="201" spans="2:9" ht="35.1" customHeight="1" x14ac:dyDescent="0.25">
      <c r="B201" s="91"/>
      <c r="C201" s="92" t="s">
        <v>66</v>
      </c>
      <c r="D201" s="92" t="s">
        <v>67</v>
      </c>
      <c r="E201" s="93"/>
      <c r="F201" s="153"/>
      <c r="G201" s="94">
        <f>G202+G203</f>
        <v>100</v>
      </c>
      <c r="H201" s="94">
        <f>H202+H203</f>
        <v>37.5</v>
      </c>
      <c r="I201" s="90"/>
    </row>
    <row r="202" spans="2:9" ht="35.1" customHeight="1" x14ac:dyDescent="0.25">
      <c r="B202" s="16" t="s">
        <v>266</v>
      </c>
      <c r="C202" s="15" t="s">
        <v>140</v>
      </c>
      <c r="D202" s="15" t="s">
        <v>141</v>
      </c>
      <c r="E202" s="95" t="s">
        <v>220</v>
      </c>
      <c r="F202" s="154"/>
      <c r="G202" s="96">
        <v>0</v>
      </c>
      <c r="H202" s="96">
        <v>0</v>
      </c>
      <c r="I202" s="148"/>
    </row>
    <row r="203" spans="2:9" ht="35.1" customHeight="1" x14ac:dyDescent="0.25">
      <c r="B203" s="16"/>
      <c r="C203" s="15">
        <v>3299</v>
      </c>
      <c r="D203" s="15" t="s">
        <v>147</v>
      </c>
      <c r="E203" s="95">
        <v>47600</v>
      </c>
      <c r="F203" s="154"/>
      <c r="G203" s="96">
        <v>100</v>
      </c>
      <c r="H203" s="96">
        <v>37.5</v>
      </c>
      <c r="I203" s="148"/>
    </row>
    <row r="204" spans="2:9" ht="35.1" customHeight="1" x14ac:dyDescent="0.25">
      <c r="B204" s="87" t="s">
        <v>267</v>
      </c>
      <c r="C204" s="186" t="s">
        <v>268</v>
      </c>
      <c r="D204" s="192"/>
      <c r="E204" s="88"/>
      <c r="F204" s="152">
        <v>14865</v>
      </c>
      <c r="G204" s="89">
        <f>G205+G222</f>
        <v>17167</v>
      </c>
      <c r="H204" s="89">
        <f>H222+H205</f>
        <v>3337.69</v>
      </c>
      <c r="I204" s="90">
        <f t="shared" ref="I204:I261" si="6">H204/G204*100</f>
        <v>19.442476845109805</v>
      </c>
    </row>
    <row r="205" spans="2:9" ht="35.1" customHeight="1" x14ac:dyDescent="0.25">
      <c r="B205" s="91"/>
      <c r="C205" s="92" t="s">
        <v>46</v>
      </c>
      <c r="D205" s="92" t="s">
        <v>47</v>
      </c>
      <c r="E205" s="93"/>
      <c r="F205" s="153">
        <v>12742</v>
      </c>
      <c r="G205" s="94">
        <f>G206</f>
        <v>15044</v>
      </c>
      <c r="H205" s="94">
        <f>H206</f>
        <v>3337.69</v>
      </c>
      <c r="I205" s="90">
        <f t="shared" si="6"/>
        <v>22.186187184259506</v>
      </c>
    </row>
    <row r="206" spans="2:9" ht="35.1" customHeight="1" x14ac:dyDescent="0.25">
      <c r="B206" s="91"/>
      <c r="C206" s="92" t="s">
        <v>56</v>
      </c>
      <c r="D206" s="92" t="s">
        <v>57</v>
      </c>
      <c r="E206" s="93"/>
      <c r="F206" s="153">
        <v>12742</v>
      </c>
      <c r="G206" s="94">
        <f>G207+G211+G220+G218</f>
        <v>15044</v>
      </c>
      <c r="H206" s="94">
        <f>H207+H211+H218+H220</f>
        <v>3337.69</v>
      </c>
      <c r="I206" s="90">
        <f t="shared" si="6"/>
        <v>22.186187184259506</v>
      </c>
    </row>
    <row r="207" spans="2:9" ht="35.1" customHeight="1" x14ac:dyDescent="0.25">
      <c r="B207" s="91"/>
      <c r="C207" s="92" t="s">
        <v>60</v>
      </c>
      <c r="D207" s="92" t="s">
        <v>61</v>
      </c>
      <c r="E207" s="93"/>
      <c r="F207" s="153"/>
      <c r="G207" s="94">
        <f>SUM(G208:G210)</f>
        <v>3052.62</v>
      </c>
      <c r="H207" s="94">
        <f>SUM(H208:H210)</f>
        <v>0</v>
      </c>
      <c r="I207" s="90"/>
    </row>
    <row r="208" spans="2:9" ht="35.1" customHeight="1" x14ac:dyDescent="0.25">
      <c r="B208" s="16"/>
      <c r="C208" s="15" t="s">
        <v>105</v>
      </c>
      <c r="D208" s="15" t="s">
        <v>106</v>
      </c>
      <c r="E208" s="95" t="s">
        <v>220</v>
      </c>
      <c r="F208" s="154"/>
      <c r="G208" s="96">
        <v>663.61</v>
      </c>
      <c r="H208" s="96">
        <v>0</v>
      </c>
      <c r="I208" s="148"/>
    </row>
    <row r="209" spans="2:9" ht="35.1" customHeight="1" x14ac:dyDescent="0.25">
      <c r="B209" s="16"/>
      <c r="C209" s="15" t="s">
        <v>105</v>
      </c>
      <c r="D209" s="15" t="s">
        <v>106</v>
      </c>
      <c r="E209" s="95">
        <v>11001</v>
      </c>
      <c r="F209" s="154"/>
      <c r="G209" s="96">
        <v>663.61</v>
      </c>
      <c r="H209" s="96"/>
      <c r="I209" s="148"/>
    </row>
    <row r="210" spans="2:9" ht="35.1" customHeight="1" x14ac:dyDescent="0.25">
      <c r="B210" s="16"/>
      <c r="C210" s="15">
        <v>3225</v>
      </c>
      <c r="D210" s="15" t="s">
        <v>114</v>
      </c>
      <c r="E210" s="95">
        <v>11001</v>
      </c>
      <c r="F210" s="154"/>
      <c r="G210" s="96">
        <v>1725.4</v>
      </c>
      <c r="H210" s="96"/>
      <c r="I210" s="148"/>
    </row>
    <row r="211" spans="2:9" ht="35.1" customHeight="1" x14ac:dyDescent="0.25">
      <c r="B211" s="91"/>
      <c r="C211" s="92" t="s">
        <v>62</v>
      </c>
      <c r="D211" s="92" t="s">
        <v>63</v>
      </c>
      <c r="E211" s="93"/>
      <c r="F211" s="153"/>
      <c r="G211" s="94">
        <f>SUM(G212:G217)</f>
        <v>9689.380000000001</v>
      </c>
      <c r="H211" s="94">
        <f>SUM(H212:H217)</f>
        <v>2226.88</v>
      </c>
      <c r="I211" s="90"/>
    </row>
    <row r="212" spans="2:9" ht="35.1" customHeight="1" x14ac:dyDescent="0.25">
      <c r="B212" s="91"/>
      <c r="C212" s="15" t="s">
        <v>121</v>
      </c>
      <c r="D212" s="15" t="s">
        <v>122</v>
      </c>
      <c r="E212" s="95">
        <v>11001</v>
      </c>
      <c r="F212" s="154"/>
      <c r="G212" s="96">
        <v>265.45</v>
      </c>
      <c r="H212" s="94"/>
      <c r="I212" s="148"/>
    </row>
    <row r="213" spans="2:9" ht="35.1" customHeight="1" x14ac:dyDescent="0.25">
      <c r="B213" s="16"/>
      <c r="C213" s="15" t="s">
        <v>121</v>
      </c>
      <c r="D213" s="15" t="s">
        <v>122</v>
      </c>
      <c r="E213" s="95" t="s">
        <v>220</v>
      </c>
      <c r="F213" s="154"/>
      <c r="G213" s="96">
        <v>796.67</v>
      </c>
      <c r="H213" s="96">
        <v>0</v>
      </c>
      <c r="I213" s="148"/>
    </row>
    <row r="214" spans="2:9" ht="35.1" customHeight="1" x14ac:dyDescent="0.25">
      <c r="B214" s="16"/>
      <c r="C214" s="15" t="s">
        <v>129</v>
      </c>
      <c r="D214" s="15" t="s">
        <v>130</v>
      </c>
      <c r="E214" s="95">
        <v>11001</v>
      </c>
      <c r="F214" s="154"/>
      <c r="G214" s="96">
        <v>663.61</v>
      </c>
      <c r="H214" s="96">
        <v>663.61</v>
      </c>
      <c r="I214" s="148"/>
    </row>
    <row r="215" spans="2:9" ht="35.1" customHeight="1" x14ac:dyDescent="0.25">
      <c r="B215" s="16"/>
      <c r="C215" s="15" t="s">
        <v>129</v>
      </c>
      <c r="D215" s="15" t="s">
        <v>130</v>
      </c>
      <c r="E215" s="95" t="s">
        <v>220</v>
      </c>
      <c r="F215" s="154"/>
      <c r="G215" s="96">
        <v>2654.73</v>
      </c>
      <c r="H215" s="96">
        <v>1563.27</v>
      </c>
      <c r="I215" s="148"/>
    </row>
    <row r="216" spans="2:9" ht="35.1" customHeight="1" x14ac:dyDescent="0.25">
      <c r="B216" s="16"/>
      <c r="C216" s="15">
        <v>3239</v>
      </c>
      <c r="D216" s="15" t="s">
        <v>134</v>
      </c>
      <c r="E216" s="95">
        <v>11001</v>
      </c>
      <c r="F216" s="154"/>
      <c r="G216" s="96">
        <v>2654.46</v>
      </c>
      <c r="H216" s="96"/>
      <c r="I216" s="148"/>
    </row>
    <row r="217" spans="2:9" ht="35.1" customHeight="1" x14ac:dyDescent="0.25">
      <c r="B217" s="16"/>
      <c r="C217" s="15" t="s">
        <v>133</v>
      </c>
      <c r="D217" s="15" t="s">
        <v>134</v>
      </c>
      <c r="E217" s="95" t="s">
        <v>220</v>
      </c>
      <c r="F217" s="154"/>
      <c r="G217" s="96">
        <v>2654.46</v>
      </c>
      <c r="H217" s="96">
        <v>0</v>
      </c>
      <c r="I217" s="148"/>
    </row>
    <row r="218" spans="2:9" ht="35.1" customHeight="1" x14ac:dyDescent="0.25">
      <c r="B218" s="16"/>
      <c r="C218" s="92">
        <v>324</v>
      </c>
      <c r="D218" s="92" t="s">
        <v>65</v>
      </c>
      <c r="E218" s="95"/>
      <c r="F218" s="154"/>
      <c r="G218" s="94">
        <f>G219</f>
        <v>400</v>
      </c>
      <c r="H218" s="96">
        <f>H219</f>
        <v>80</v>
      </c>
      <c r="I218" s="90"/>
    </row>
    <row r="219" spans="2:9" ht="35.1" customHeight="1" x14ac:dyDescent="0.25">
      <c r="B219" s="16"/>
      <c r="C219" s="15">
        <v>3241</v>
      </c>
      <c r="D219" s="15" t="s">
        <v>65</v>
      </c>
      <c r="E219" s="95">
        <v>47600</v>
      </c>
      <c r="F219" s="154"/>
      <c r="G219" s="96">
        <v>400</v>
      </c>
      <c r="H219" s="96">
        <v>80</v>
      </c>
      <c r="I219" s="148"/>
    </row>
    <row r="220" spans="2:9" ht="35.1" customHeight="1" x14ac:dyDescent="0.25">
      <c r="B220" s="91"/>
      <c r="C220" s="92" t="s">
        <v>66</v>
      </c>
      <c r="D220" s="92" t="s">
        <v>67</v>
      </c>
      <c r="E220" s="93"/>
      <c r="F220" s="153"/>
      <c r="G220" s="94">
        <f>G221</f>
        <v>1902</v>
      </c>
      <c r="H220" s="94">
        <f>H221</f>
        <v>1030.81</v>
      </c>
      <c r="I220" s="90"/>
    </row>
    <row r="221" spans="2:9" ht="35.1" customHeight="1" x14ac:dyDescent="0.25">
      <c r="B221" s="16"/>
      <c r="C221" s="15" t="s">
        <v>140</v>
      </c>
      <c r="D221" s="15" t="s">
        <v>141</v>
      </c>
      <c r="E221" s="95" t="s">
        <v>220</v>
      </c>
      <c r="F221" s="154"/>
      <c r="G221" s="96">
        <v>1902</v>
      </c>
      <c r="H221" s="96">
        <v>1030.81</v>
      </c>
      <c r="I221" s="148"/>
    </row>
    <row r="222" spans="2:9" ht="35.1" customHeight="1" x14ac:dyDescent="0.25">
      <c r="B222" s="91"/>
      <c r="C222" s="92" t="s">
        <v>72</v>
      </c>
      <c r="D222" s="92" t="s">
        <v>73</v>
      </c>
      <c r="E222" s="93"/>
      <c r="F222" s="153">
        <v>2123</v>
      </c>
      <c r="G222" s="94">
        <f>G223</f>
        <v>2123</v>
      </c>
      <c r="H222" s="94">
        <f>H223</f>
        <v>0</v>
      </c>
      <c r="I222" s="90">
        <f t="shared" si="6"/>
        <v>0</v>
      </c>
    </row>
    <row r="223" spans="2:9" ht="35.1" customHeight="1" x14ac:dyDescent="0.25">
      <c r="B223" s="91"/>
      <c r="C223" s="92" t="s">
        <v>78</v>
      </c>
      <c r="D223" s="92" t="s">
        <v>79</v>
      </c>
      <c r="E223" s="93"/>
      <c r="F223" s="153">
        <v>2123</v>
      </c>
      <c r="G223" s="94">
        <f>G224</f>
        <v>2123</v>
      </c>
      <c r="H223" s="94">
        <f>H224</f>
        <v>0</v>
      </c>
      <c r="I223" s="90">
        <f t="shared" si="6"/>
        <v>0</v>
      </c>
    </row>
    <row r="224" spans="2:9" ht="35.1" customHeight="1" x14ac:dyDescent="0.25">
      <c r="B224" s="91"/>
      <c r="C224" s="92" t="s">
        <v>80</v>
      </c>
      <c r="D224" s="92" t="s">
        <v>81</v>
      </c>
      <c r="E224" s="93"/>
      <c r="F224" s="153"/>
      <c r="G224" s="94">
        <f>G226+G225</f>
        <v>2123</v>
      </c>
      <c r="H224" s="94">
        <v>0</v>
      </c>
      <c r="I224" s="90"/>
    </row>
    <row r="225" spans="2:9" ht="35.1" customHeight="1" x14ac:dyDescent="0.25">
      <c r="B225" s="91"/>
      <c r="C225" s="92">
        <v>4221</v>
      </c>
      <c r="D225" s="15" t="s">
        <v>157</v>
      </c>
      <c r="E225" s="95">
        <v>11001</v>
      </c>
      <c r="F225" s="154"/>
      <c r="G225" s="96">
        <v>1990.47</v>
      </c>
      <c r="H225" s="94">
        <f>H226</f>
        <v>0</v>
      </c>
      <c r="I225" s="90"/>
    </row>
    <row r="226" spans="2:9" ht="35.1" customHeight="1" x14ac:dyDescent="0.25">
      <c r="B226" s="16"/>
      <c r="C226" s="15" t="s">
        <v>156</v>
      </c>
      <c r="D226" s="15" t="s">
        <v>157</v>
      </c>
      <c r="E226" s="95" t="s">
        <v>220</v>
      </c>
      <c r="F226" s="154"/>
      <c r="G226" s="96">
        <v>132.53</v>
      </c>
      <c r="H226" s="96">
        <v>0</v>
      </c>
      <c r="I226" s="148"/>
    </row>
    <row r="227" spans="2:9" ht="35.1" customHeight="1" x14ac:dyDescent="0.25">
      <c r="B227" s="104" t="s">
        <v>314</v>
      </c>
      <c r="C227" s="197" t="s">
        <v>315</v>
      </c>
      <c r="D227" s="198"/>
      <c r="E227" s="95"/>
      <c r="F227" s="154">
        <v>0</v>
      </c>
      <c r="G227" s="94">
        <f>G228</f>
        <v>13500</v>
      </c>
      <c r="H227" s="96">
        <f>H228</f>
        <v>4659.67</v>
      </c>
      <c r="I227" s="90">
        <f t="shared" si="6"/>
        <v>34.516074074074076</v>
      </c>
    </row>
    <row r="228" spans="2:9" ht="35.1" customHeight="1" x14ac:dyDescent="0.25">
      <c r="B228" s="16"/>
      <c r="C228" s="92" t="s">
        <v>46</v>
      </c>
      <c r="D228" s="92" t="s">
        <v>47</v>
      </c>
      <c r="E228" s="95"/>
      <c r="F228" s="154">
        <v>0</v>
      </c>
      <c r="G228" s="94">
        <f>G229</f>
        <v>13500</v>
      </c>
      <c r="H228" s="96">
        <f>H229</f>
        <v>4659.67</v>
      </c>
      <c r="I228" s="90">
        <f t="shared" si="6"/>
        <v>34.516074074074076</v>
      </c>
    </row>
    <row r="229" spans="2:9" ht="35.1" customHeight="1" x14ac:dyDescent="0.25">
      <c r="B229" s="16"/>
      <c r="C229" s="92" t="s">
        <v>56</v>
      </c>
      <c r="D229" s="92" t="s">
        <v>57</v>
      </c>
      <c r="E229" s="95"/>
      <c r="F229" s="154">
        <v>0</v>
      </c>
      <c r="G229" s="94">
        <f>G230+G232+G235+G237</f>
        <v>13500</v>
      </c>
      <c r="H229" s="96">
        <f>H230+H232+H235+H237</f>
        <v>4659.67</v>
      </c>
      <c r="I229" s="90">
        <f t="shared" si="6"/>
        <v>34.516074074074076</v>
      </c>
    </row>
    <row r="230" spans="2:9" ht="35.1" customHeight="1" x14ac:dyDescent="0.25">
      <c r="B230" s="16"/>
      <c r="C230" s="92" t="s">
        <v>60</v>
      </c>
      <c r="D230" s="92" t="s">
        <v>61</v>
      </c>
      <c r="E230" s="95"/>
      <c r="F230" s="154"/>
      <c r="G230" s="94">
        <f>G231</f>
        <v>1000</v>
      </c>
      <c r="H230" s="96">
        <f>H231</f>
        <v>459.35</v>
      </c>
      <c r="I230" s="90"/>
    </row>
    <row r="231" spans="2:9" ht="35.1" customHeight="1" x14ac:dyDescent="0.25">
      <c r="B231" s="16"/>
      <c r="C231" s="15">
        <v>3222</v>
      </c>
      <c r="D231" s="15" t="s">
        <v>108</v>
      </c>
      <c r="E231" s="95">
        <v>47600</v>
      </c>
      <c r="F231" s="154"/>
      <c r="G231" s="96">
        <v>1000</v>
      </c>
      <c r="H231" s="96">
        <v>459.35</v>
      </c>
      <c r="I231" s="148"/>
    </row>
    <row r="232" spans="2:9" ht="35.1" customHeight="1" x14ac:dyDescent="0.25">
      <c r="B232" s="16"/>
      <c r="C232" s="92">
        <v>323</v>
      </c>
      <c r="D232" s="92" t="s">
        <v>63</v>
      </c>
      <c r="E232" s="95"/>
      <c r="F232" s="154"/>
      <c r="G232" s="94">
        <f>G233+G234</f>
        <v>8000</v>
      </c>
      <c r="H232" s="96">
        <f>SUM(H233:H234)</f>
        <v>2799.77</v>
      </c>
      <c r="I232" s="90"/>
    </row>
    <row r="233" spans="2:9" ht="35.1" customHeight="1" x14ac:dyDescent="0.25">
      <c r="B233" s="16"/>
      <c r="C233" s="15">
        <v>3235</v>
      </c>
      <c r="D233" s="15" t="s">
        <v>126</v>
      </c>
      <c r="E233" s="95">
        <v>47600</v>
      </c>
      <c r="F233" s="154"/>
      <c r="G233" s="96">
        <v>3000</v>
      </c>
      <c r="H233" s="96">
        <v>1575</v>
      </c>
      <c r="I233" s="148"/>
    </row>
    <row r="234" spans="2:9" ht="35.1" customHeight="1" x14ac:dyDescent="0.25">
      <c r="B234" s="16"/>
      <c r="C234" s="15">
        <v>3237</v>
      </c>
      <c r="D234" s="15" t="s">
        <v>130</v>
      </c>
      <c r="E234" s="95">
        <v>47600</v>
      </c>
      <c r="F234" s="154"/>
      <c r="G234" s="96">
        <v>5000</v>
      </c>
      <c r="H234" s="96">
        <v>1224.77</v>
      </c>
      <c r="I234" s="148"/>
    </row>
    <row r="235" spans="2:9" ht="35.1" customHeight="1" x14ac:dyDescent="0.25">
      <c r="B235" s="16"/>
      <c r="C235" s="92">
        <v>324</v>
      </c>
      <c r="D235" s="92" t="s">
        <v>65</v>
      </c>
      <c r="E235" s="95"/>
      <c r="F235" s="154"/>
      <c r="G235" s="94">
        <f>G236</f>
        <v>3000</v>
      </c>
      <c r="H235" s="96">
        <f>H236</f>
        <v>1362.55</v>
      </c>
      <c r="I235" s="90"/>
    </row>
    <row r="236" spans="2:9" ht="35.1" customHeight="1" x14ac:dyDescent="0.25">
      <c r="B236" s="16"/>
      <c r="C236" s="15">
        <v>3241</v>
      </c>
      <c r="D236" s="15" t="s">
        <v>65</v>
      </c>
      <c r="E236" s="95">
        <v>47600</v>
      </c>
      <c r="F236" s="154"/>
      <c r="G236" s="96">
        <v>3000</v>
      </c>
      <c r="H236" s="96">
        <v>1362.55</v>
      </c>
      <c r="I236" s="148"/>
    </row>
    <row r="237" spans="2:9" ht="35.1" customHeight="1" x14ac:dyDescent="0.25">
      <c r="B237" s="16"/>
      <c r="C237" s="92" t="s">
        <v>66</v>
      </c>
      <c r="D237" s="92" t="s">
        <v>67</v>
      </c>
      <c r="E237" s="95"/>
      <c r="F237" s="154"/>
      <c r="G237" s="94">
        <f>G238+G239</f>
        <v>1500</v>
      </c>
      <c r="H237" s="96">
        <f>H238+H239</f>
        <v>38</v>
      </c>
      <c r="I237" s="90"/>
    </row>
    <row r="238" spans="2:9" ht="35.1" customHeight="1" x14ac:dyDescent="0.25">
      <c r="B238" s="16"/>
      <c r="C238" s="15" t="s">
        <v>140</v>
      </c>
      <c r="D238" s="15" t="s">
        <v>141</v>
      </c>
      <c r="E238" s="95">
        <v>47600</v>
      </c>
      <c r="F238" s="154"/>
      <c r="G238" s="96">
        <v>1000</v>
      </c>
      <c r="H238" s="96"/>
      <c r="I238" s="148"/>
    </row>
    <row r="239" spans="2:9" ht="35.1" customHeight="1" x14ac:dyDescent="0.25">
      <c r="B239" s="16"/>
      <c r="C239" s="15">
        <v>3299</v>
      </c>
      <c r="D239" s="15" t="s">
        <v>147</v>
      </c>
      <c r="E239" s="95">
        <v>47600</v>
      </c>
      <c r="F239" s="154"/>
      <c r="G239" s="96">
        <v>500</v>
      </c>
      <c r="H239" s="96">
        <v>38</v>
      </c>
      <c r="I239" s="148"/>
    </row>
    <row r="240" spans="2:9" ht="35.1" customHeight="1" x14ac:dyDescent="0.25">
      <c r="B240" s="87" t="s">
        <v>269</v>
      </c>
      <c r="C240" s="186" t="s">
        <v>270</v>
      </c>
      <c r="D240" s="191"/>
      <c r="E240" s="88"/>
      <c r="F240" s="152">
        <v>14334</v>
      </c>
      <c r="G240" s="89">
        <f>G241</f>
        <v>14334</v>
      </c>
      <c r="H240" s="89">
        <f>H241</f>
        <v>10609.369999999999</v>
      </c>
      <c r="I240" s="90">
        <f t="shared" si="6"/>
        <v>74.015417887540096</v>
      </c>
    </row>
    <row r="241" spans="2:9" ht="35.1" customHeight="1" x14ac:dyDescent="0.25">
      <c r="B241" s="87" t="s">
        <v>271</v>
      </c>
      <c r="C241" s="186" t="s">
        <v>272</v>
      </c>
      <c r="D241" s="192"/>
      <c r="E241" s="88"/>
      <c r="F241" s="152">
        <v>14334</v>
      </c>
      <c r="G241" s="89">
        <f>G242</f>
        <v>14334</v>
      </c>
      <c r="H241" s="89">
        <f>H242</f>
        <v>10609.369999999999</v>
      </c>
      <c r="I241" s="90">
        <f t="shared" si="6"/>
        <v>74.015417887540096</v>
      </c>
    </row>
    <row r="242" spans="2:9" ht="35.1" customHeight="1" x14ac:dyDescent="0.25">
      <c r="B242" s="91"/>
      <c r="C242" s="92" t="s">
        <v>46</v>
      </c>
      <c r="D242" s="92" t="s">
        <v>47</v>
      </c>
      <c r="E242" s="93"/>
      <c r="F242" s="153">
        <v>14334</v>
      </c>
      <c r="G242" s="94">
        <f>G243+G250</f>
        <v>14334</v>
      </c>
      <c r="H242" s="94">
        <f>H243+H250</f>
        <v>10609.369999999999</v>
      </c>
      <c r="I242" s="90">
        <f t="shared" si="6"/>
        <v>74.015417887540096</v>
      </c>
    </row>
    <row r="243" spans="2:9" ht="35.1" customHeight="1" x14ac:dyDescent="0.25">
      <c r="B243" s="91"/>
      <c r="C243" s="92" t="s">
        <v>48</v>
      </c>
      <c r="D243" s="92" t="s">
        <v>49</v>
      </c>
      <c r="E243" s="93"/>
      <c r="F243" s="153">
        <v>14228</v>
      </c>
      <c r="G243" s="94">
        <f>G244+G246+G248</f>
        <v>14228</v>
      </c>
      <c r="H243" s="94">
        <f>H244+H248+H246</f>
        <v>10494.97</v>
      </c>
      <c r="I243" s="90">
        <f t="shared" si="6"/>
        <v>73.762791678380651</v>
      </c>
    </row>
    <row r="244" spans="2:9" ht="35.1" customHeight="1" x14ac:dyDescent="0.25">
      <c r="B244" s="91"/>
      <c r="C244" s="92" t="s">
        <v>50</v>
      </c>
      <c r="D244" s="92" t="s">
        <v>51</v>
      </c>
      <c r="E244" s="93"/>
      <c r="F244" s="153"/>
      <c r="G244" s="94">
        <f>G245</f>
        <v>11838.99</v>
      </c>
      <c r="H244" s="94">
        <f>H245</f>
        <v>8723.74</v>
      </c>
      <c r="I244" s="90"/>
    </row>
    <row r="245" spans="2:9" ht="35.1" customHeight="1" x14ac:dyDescent="0.25">
      <c r="B245" s="16"/>
      <c r="C245" s="15" t="s">
        <v>91</v>
      </c>
      <c r="D245" s="15" t="s">
        <v>90</v>
      </c>
      <c r="E245" s="95" t="s">
        <v>233</v>
      </c>
      <c r="F245" s="154"/>
      <c r="G245" s="96">
        <v>11838.99</v>
      </c>
      <c r="H245" s="96">
        <v>8723.74</v>
      </c>
      <c r="I245" s="148"/>
    </row>
    <row r="246" spans="2:9" ht="35.1" customHeight="1" x14ac:dyDescent="0.25">
      <c r="B246" s="91"/>
      <c r="C246" s="92" t="s">
        <v>52</v>
      </c>
      <c r="D246" s="92" t="s">
        <v>53</v>
      </c>
      <c r="E246" s="93"/>
      <c r="F246" s="153"/>
      <c r="G246" s="94">
        <f>G247</f>
        <v>398.17</v>
      </c>
      <c r="H246" s="94">
        <f>H247</f>
        <v>331.81</v>
      </c>
      <c r="I246" s="90"/>
    </row>
    <row r="247" spans="2:9" ht="35.1" customHeight="1" x14ac:dyDescent="0.25">
      <c r="B247" s="16"/>
      <c r="C247" s="15" t="s">
        <v>94</v>
      </c>
      <c r="D247" s="15" t="s">
        <v>53</v>
      </c>
      <c r="E247" s="95" t="s">
        <v>233</v>
      </c>
      <c r="F247" s="154"/>
      <c r="G247" s="96">
        <v>398.17</v>
      </c>
      <c r="H247" s="96">
        <v>331.81</v>
      </c>
      <c r="I247" s="148"/>
    </row>
    <row r="248" spans="2:9" ht="35.1" customHeight="1" x14ac:dyDescent="0.25">
      <c r="B248" s="91"/>
      <c r="C248" s="92" t="s">
        <v>54</v>
      </c>
      <c r="D248" s="92" t="s">
        <v>55</v>
      </c>
      <c r="E248" s="93"/>
      <c r="F248" s="153"/>
      <c r="G248" s="94">
        <f>G249</f>
        <v>1990.84</v>
      </c>
      <c r="H248" s="94">
        <f>H249</f>
        <v>1439.42</v>
      </c>
      <c r="I248" s="90"/>
    </row>
    <row r="249" spans="2:9" ht="35.1" customHeight="1" x14ac:dyDescent="0.25">
      <c r="B249" s="16"/>
      <c r="C249" s="15" t="s">
        <v>95</v>
      </c>
      <c r="D249" s="15" t="s">
        <v>96</v>
      </c>
      <c r="E249" s="95" t="s">
        <v>233</v>
      </c>
      <c r="F249" s="154"/>
      <c r="G249" s="96">
        <v>1990.84</v>
      </c>
      <c r="H249" s="96">
        <v>1439.42</v>
      </c>
      <c r="I249" s="148"/>
    </row>
    <row r="250" spans="2:9" ht="35.1" customHeight="1" x14ac:dyDescent="0.25">
      <c r="B250" s="91"/>
      <c r="C250" s="92" t="s">
        <v>56</v>
      </c>
      <c r="D250" s="92" t="s">
        <v>57</v>
      </c>
      <c r="E250" s="93"/>
      <c r="F250" s="153">
        <v>106</v>
      </c>
      <c r="G250" s="94">
        <f>G251</f>
        <v>106</v>
      </c>
      <c r="H250" s="94">
        <f>H251</f>
        <v>114.4</v>
      </c>
      <c r="I250" s="90">
        <f t="shared" si="6"/>
        <v>107.9245283018868</v>
      </c>
    </row>
    <row r="251" spans="2:9" ht="35.1" customHeight="1" x14ac:dyDescent="0.25">
      <c r="B251" s="91"/>
      <c r="C251" s="92" t="s">
        <v>58</v>
      </c>
      <c r="D251" s="92" t="s">
        <v>59</v>
      </c>
      <c r="E251" s="93"/>
      <c r="F251" s="153"/>
      <c r="G251" s="94">
        <f>G252</f>
        <v>106</v>
      </c>
      <c r="H251" s="94">
        <f>H252</f>
        <v>114.4</v>
      </c>
      <c r="I251" s="90"/>
    </row>
    <row r="252" spans="2:9" ht="35.1" customHeight="1" x14ac:dyDescent="0.25">
      <c r="B252" s="16"/>
      <c r="C252" s="15" t="s">
        <v>99</v>
      </c>
      <c r="D252" s="15" t="s">
        <v>100</v>
      </c>
      <c r="E252" s="95" t="s">
        <v>233</v>
      </c>
      <c r="F252" s="154"/>
      <c r="G252" s="96">
        <v>106</v>
      </c>
      <c r="H252" s="96">
        <v>114.4</v>
      </c>
      <c r="I252" s="148"/>
    </row>
    <row r="253" spans="2:9" ht="58.5" customHeight="1" x14ac:dyDescent="0.25">
      <c r="B253" s="104" t="s">
        <v>86</v>
      </c>
      <c r="C253" s="201" t="s">
        <v>283</v>
      </c>
      <c r="D253" s="202"/>
      <c r="E253" s="105"/>
      <c r="F253" s="156">
        <v>1198569</v>
      </c>
      <c r="G253" s="106">
        <f>G7</f>
        <v>1269946</v>
      </c>
      <c r="H253" s="106">
        <f>H7</f>
        <v>364854.11999999994</v>
      </c>
      <c r="I253" s="90">
        <f t="shared" si="6"/>
        <v>28.729892452120005</v>
      </c>
    </row>
    <row r="254" spans="2:9" ht="35.1" customHeight="1" x14ac:dyDescent="0.25">
      <c r="B254" s="203" t="s">
        <v>87</v>
      </c>
      <c r="C254" s="204"/>
      <c r="D254" s="204"/>
      <c r="E254" s="204"/>
      <c r="F254" s="157" t="s">
        <v>325</v>
      </c>
      <c r="G254" s="158" t="s">
        <v>361</v>
      </c>
      <c r="H254" s="137" t="s">
        <v>318</v>
      </c>
      <c r="I254" s="147" t="s">
        <v>362</v>
      </c>
    </row>
    <row r="255" spans="2:9" ht="35.1" customHeight="1" x14ac:dyDescent="0.25">
      <c r="B255" s="107" t="s">
        <v>273</v>
      </c>
      <c r="C255" s="205" t="s">
        <v>274</v>
      </c>
      <c r="D255" s="206"/>
      <c r="E255" s="206"/>
      <c r="F255" s="159">
        <v>330287</v>
      </c>
      <c r="G255" s="108">
        <v>330287</v>
      </c>
      <c r="H255" s="108">
        <v>151718.67000000001</v>
      </c>
      <c r="I255" s="148">
        <f t="shared" si="6"/>
        <v>45.935404663217142</v>
      </c>
    </row>
    <row r="256" spans="2:9" ht="35.1" customHeight="1" x14ac:dyDescent="0.25">
      <c r="B256" s="107" t="s">
        <v>56</v>
      </c>
      <c r="C256" s="205" t="s">
        <v>275</v>
      </c>
      <c r="D256" s="206"/>
      <c r="E256" s="206"/>
      <c r="F256" s="159">
        <v>36113</v>
      </c>
      <c r="G256" s="108">
        <v>53990</v>
      </c>
      <c r="H256" s="108">
        <v>137.9</v>
      </c>
      <c r="I256" s="148">
        <f t="shared" si="6"/>
        <v>0.25541766993887755</v>
      </c>
    </row>
    <row r="257" spans="2:9" ht="35.1" customHeight="1" x14ac:dyDescent="0.25">
      <c r="B257" s="107" t="s">
        <v>276</v>
      </c>
      <c r="C257" s="205" t="s">
        <v>277</v>
      </c>
      <c r="D257" s="206"/>
      <c r="E257" s="206"/>
      <c r="F257" s="159">
        <v>779347</v>
      </c>
      <c r="G257" s="108">
        <v>851616</v>
      </c>
      <c r="H257" s="108">
        <v>200035.95</v>
      </c>
      <c r="I257" s="148">
        <f t="shared" si="6"/>
        <v>23.488984471874648</v>
      </c>
    </row>
    <row r="258" spans="2:9" ht="35.1" customHeight="1" x14ac:dyDescent="0.25">
      <c r="B258" s="107" t="s">
        <v>278</v>
      </c>
      <c r="C258" s="205" t="s">
        <v>179</v>
      </c>
      <c r="D258" s="206"/>
      <c r="E258" s="206"/>
      <c r="F258" s="159">
        <v>14599</v>
      </c>
      <c r="G258" s="108">
        <v>1327</v>
      </c>
      <c r="H258" s="108">
        <v>0</v>
      </c>
      <c r="I258" s="148">
        <f t="shared" si="6"/>
        <v>0</v>
      </c>
    </row>
    <row r="259" spans="2:9" ht="35.1" customHeight="1" x14ac:dyDescent="0.25">
      <c r="B259" s="107" t="s">
        <v>279</v>
      </c>
      <c r="C259" s="205" t="s">
        <v>280</v>
      </c>
      <c r="D259" s="206"/>
      <c r="E259" s="206"/>
      <c r="F259" s="159">
        <v>36896</v>
      </c>
      <c r="G259" s="108">
        <v>31399</v>
      </c>
      <c r="H259" s="108">
        <v>12961.6</v>
      </c>
      <c r="I259" s="148">
        <f t="shared" si="6"/>
        <v>41.280295550813726</v>
      </c>
    </row>
    <row r="260" spans="2:9" ht="35.1" customHeight="1" x14ac:dyDescent="0.25">
      <c r="B260" s="107" t="s">
        <v>281</v>
      </c>
      <c r="C260" s="205" t="s">
        <v>282</v>
      </c>
      <c r="D260" s="206"/>
      <c r="E260" s="206"/>
      <c r="F260" s="159">
        <v>1327</v>
      </c>
      <c r="G260" s="108">
        <v>1327</v>
      </c>
      <c r="H260" s="108">
        <v>0</v>
      </c>
      <c r="I260" s="148">
        <f t="shared" si="6"/>
        <v>0</v>
      </c>
    </row>
    <row r="261" spans="2:9" ht="35.1" customHeight="1" thickBot="1" x14ac:dyDescent="0.3">
      <c r="B261" s="109" t="s">
        <v>89</v>
      </c>
      <c r="C261" s="199"/>
      <c r="D261" s="200"/>
      <c r="E261" s="200"/>
      <c r="F261" s="160">
        <v>1198569</v>
      </c>
      <c r="G261" s="110">
        <f>SUM(G255:G260)</f>
        <v>1269946</v>
      </c>
      <c r="H261" s="110">
        <f>SUM(H255:H260)</f>
        <v>364854.12</v>
      </c>
      <c r="I261" s="149">
        <f t="shared" si="6"/>
        <v>28.729892452120009</v>
      </c>
    </row>
    <row r="262" spans="2:9" ht="1.1499999999999999" customHeight="1" x14ac:dyDescent="0.25">
      <c r="B262" s="1"/>
      <c r="C262" s="1"/>
      <c r="D262" s="1"/>
      <c r="E262" s="1"/>
      <c r="F262" s="1"/>
      <c r="G262" s="1"/>
      <c r="H262" s="100">
        <f>SUM(H255:H261)</f>
        <v>729708.24</v>
      </c>
      <c r="I262" s="1"/>
    </row>
  </sheetData>
  <mergeCells count="35">
    <mergeCell ref="C227:D227"/>
    <mergeCell ref="C261:E261"/>
    <mergeCell ref="C240:D240"/>
    <mergeCell ref="C241:D241"/>
    <mergeCell ref="C253:D253"/>
    <mergeCell ref="B254:E254"/>
    <mergeCell ref="C255:E255"/>
    <mergeCell ref="C256:E256"/>
    <mergeCell ref="C257:E257"/>
    <mergeCell ref="C258:E258"/>
    <mergeCell ref="C259:E259"/>
    <mergeCell ref="C260:E260"/>
    <mergeCell ref="C204:D204"/>
    <mergeCell ref="C121:D121"/>
    <mergeCell ref="C138:D138"/>
    <mergeCell ref="C150:D150"/>
    <mergeCell ref="C156:D156"/>
    <mergeCell ref="C163:D163"/>
    <mergeCell ref="C173:D173"/>
    <mergeCell ref="C179:D179"/>
    <mergeCell ref="C180:D180"/>
    <mergeCell ref="C189:D189"/>
    <mergeCell ref="C115:D115"/>
    <mergeCell ref="B2:I2"/>
    <mergeCell ref="C7:D7"/>
    <mergeCell ref="C8:D8"/>
    <mergeCell ref="C9:D9"/>
    <mergeCell ref="C10:D10"/>
    <mergeCell ref="C28:D28"/>
    <mergeCell ref="C74:D74"/>
    <mergeCell ref="C86:D86"/>
    <mergeCell ref="C106:D106"/>
    <mergeCell ref="C107:D107"/>
    <mergeCell ref="C114:D114"/>
    <mergeCell ref="C98:D98"/>
  </mergeCells>
  <pageMargins left="0.7" right="0.7" top="0.75" bottom="0.75" header="0.3" footer="0.3"/>
  <pageSetup paperSize="9" scale="5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4"/>
  <sheetViews>
    <sheetView workbookViewId="0">
      <selection activeCell="B2" sqref="B2:J34"/>
    </sheetView>
  </sheetViews>
  <sheetFormatPr defaultRowHeight="15" x14ac:dyDescent="0.25"/>
  <cols>
    <col min="2" max="2" width="7.5703125" customWidth="1"/>
    <col min="3" max="3" width="93.28515625" customWidth="1"/>
    <col min="4" max="9" width="25.7109375" customWidth="1"/>
    <col min="10" max="10" width="0.140625" customWidth="1"/>
    <col min="258" max="258" width="6.85546875" customWidth="1"/>
    <col min="259" max="259" width="93.28515625" customWidth="1"/>
    <col min="260" max="260" width="21.28515625" customWidth="1"/>
    <col min="261" max="261" width="19.85546875" customWidth="1"/>
    <col min="262" max="262" width="17.28515625" customWidth="1"/>
    <col min="263" max="263" width="20.7109375" customWidth="1"/>
    <col min="264" max="264" width="36.28515625" customWidth="1"/>
    <col min="265" max="265" width="45.7109375" customWidth="1"/>
    <col min="514" max="514" width="6.85546875" customWidth="1"/>
    <col min="515" max="515" width="93.28515625" customWidth="1"/>
    <col min="516" max="516" width="21.28515625" customWidth="1"/>
    <col min="517" max="517" width="19.85546875" customWidth="1"/>
    <col min="518" max="518" width="17.28515625" customWidth="1"/>
    <col min="519" max="519" width="20.7109375" customWidth="1"/>
    <col min="520" max="520" width="36.28515625" customWidth="1"/>
    <col min="521" max="521" width="45.7109375" customWidth="1"/>
    <col min="770" max="770" width="6.85546875" customWidth="1"/>
    <col min="771" max="771" width="93.28515625" customWidth="1"/>
    <col min="772" max="772" width="21.28515625" customWidth="1"/>
    <col min="773" max="773" width="19.85546875" customWidth="1"/>
    <col min="774" max="774" width="17.28515625" customWidth="1"/>
    <col min="775" max="775" width="20.7109375" customWidth="1"/>
    <col min="776" max="776" width="36.28515625" customWidth="1"/>
    <col min="777" max="777" width="45.7109375" customWidth="1"/>
    <col min="1026" max="1026" width="6.85546875" customWidth="1"/>
    <col min="1027" max="1027" width="93.28515625" customWidth="1"/>
    <col min="1028" max="1028" width="21.28515625" customWidth="1"/>
    <col min="1029" max="1029" width="19.85546875" customWidth="1"/>
    <col min="1030" max="1030" width="17.28515625" customWidth="1"/>
    <col min="1031" max="1031" width="20.7109375" customWidth="1"/>
    <col min="1032" max="1032" width="36.28515625" customWidth="1"/>
    <col min="1033" max="1033" width="45.7109375" customWidth="1"/>
    <col min="1282" max="1282" width="6.85546875" customWidth="1"/>
    <col min="1283" max="1283" width="93.28515625" customWidth="1"/>
    <col min="1284" max="1284" width="21.28515625" customWidth="1"/>
    <col min="1285" max="1285" width="19.85546875" customWidth="1"/>
    <col min="1286" max="1286" width="17.28515625" customWidth="1"/>
    <col min="1287" max="1287" width="20.7109375" customWidth="1"/>
    <col min="1288" max="1288" width="36.28515625" customWidth="1"/>
    <col min="1289" max="1289" width="45.7109375" customWidth="1"/>
    <col min="1538" max="1538" width="6.85546875" customWidth="1"/>
    <col min="1539" max="1539" width="93.28515625" customWidth="1"/>
    <col min="1540" max="1540" width="21.28515625" customWidth="1"/>
    <col min="1541" max="1541" width="19.85546875" customWidth="1"/>
    <col min="1542" max="1542" width="17.28515625" customWidth="1"/>
    <col min="1543" max="1543" width="20.7109375" customWidth="1"/>
    <col min="1544" max="1544" width="36.28515625" customWidth="1"/>
    <col min="1545" max="1545" width="45.7109375" customWidth="1"/>
    <col min="1794" max="1794" width="6.85546875" customWidth="1"/>
    <col min="1795" max="1795" width="93.28515625" customWidth="1"/>
    <col min="1796" max="1796" width="21.28515625" customWidth="1"/>
    <col min="1797" max="1797" width="19.85546875" customWidth="1"/>
    <col min="1798" max="1798" width="17.28515625" customWidth="1"/>
    <col min="1799" max="1799" width="20.7109375" customWidth="1"/>
    <col min="1800" max="1800" width="36.28515625" customWidth="1"/>
    <col min="1801" max="1801" width="45.7109375" customWidth="1"/>
    <col min="2050" max="2050" width="6.85546875" customWidth="1"/>
    <col min="2051" max="2051" width="93.28515625" customWidth="1"/>
    <col min="2052" max="2052" width="21.28515625" customWidth="1"/>
    <col min="2053" max="2053" width="19.85546875" customWidth="1"/>
    <col min="2054" max="2054" width="17.28515625" customWidth="1"/>
    <col min="2055" max="2055" width="20.7109375" customWidth="1"/>
    <col min="2056" max="2056" width="36.28515625" customWidth="1"/>
    <col min="2057" max="2057" width="45.7109375" customWidth="1"/>
    <col min="2306" max="2306" width="6.85546875" customWidth="1"/>
    <col min="2307" max="2307" width="93.28515625" customWidth="1"/>
    <col min="2308" max="2308" width="21.28515625" customWidth="1"/>
    <col min="2309" max="2309" width="19.85546875" customWidth="1"/>
    <col min="2310" max="2310" width="17.28515625" customWidth="1"/>
    <col min="2311" max="2311" width="20.7109375" customWidth="1"/>
    <col min="2312" max="2312" width="36.28515625" customWidth="1"/>
    <col min="2313" max="2313" width="45.7109375" customWidth="1"/>
    <col min="2562" max="2562" width="6.85546875" customWidth="1"/>
    <col min="2563" max="2563" width="93.28515625" customWidth="1"/>
    <col min="2564" max="2564" width="21.28515625" customWidth="1"/>
    <col min="2565" max="2565" width="19.85546875" customWidth="1"/>
    <col min="2566" max="2566" width="17.28515625" customWidth="1"/>
    <col min="2567" max="2567" width="20.7109375" customWidth="1"/>
    <col min="2568" max="2568" width="36.28515625" customWidth="1"/>
    <col min="2569" max="2569" width="45.7109375" customWidth="1"/>
    <col min="2818" max="2818" width="6.85546875" customWidth="1"/>
    <col min="2819" max="2819" width="93.28515625" customWidth="1"/>
    <col min="2820" max="2820" width="21.28515625" customWidth="1"/>
    <col min="2821" max="2821" width="19.85546875" customWidth="1"/>
    <col min="2822" max="2822" width="17.28515625" customWidth="1"/>
    <col min="2823" max="2823" width="20.7109375" customWidth="1"/>
    <col min="2824" max="2824" width="36.28515625" customWidth="1"/>
    <col min="2825" max="2825" width="45.7109375" customWidth="1"/>
    <col min="3074" max="3074" width="6.85546875" customWidth="1"/>
    <col min="3075" max="3075" width="93.28515625" customWidth="1"/>
    <col min="3076" max="3076" width="21.28515625" customWidth="1"/>
    <col min="3077" max="3077" width="19.85546875" customWidth="1"/>
    <col min="3078" max="3078" width="17.28515625" customWidth="1"/>
    <col min="3079" max="3079" width="20.7109375" customWidth="1"/>
    <col min="3080" max="3080" width="36.28515625" customWidth="1"/>
    <col min="3081" max="3081" width="45.7109375" customWidth="1"/>
    <col min="3330" max="3330" width="6.85546875" customWidth="1"/>
    <col min="3331" max="3331" width="93.28515625" customWidth="1"/>
    <col min="3332" max="3332" width="21.28515625" customWidth="1"/>
    <col min="3333" max="3333" width="19.85546875" customWidth="1"/>
    <col min="3334" max="3334" width="17.28515625" customWidth="1"/>
    <col min="3335" max="3335" width="20.7109375" customWidth="1"/>
    <col min="3336" max="3336" width="36.28515625" customWidth="1"/>
    <col min="3337" max="3337" width="45.7109375" customWidth="1"/>
    <col min="3586" max="3586" width="6.85546875" customWidth="1"/>
    <col min="3587" max="3587" width="93.28515625" customWidth="1"/>
    <col min="3588" max="3588" width="21.28515625" customWidth="1"/>
    <col min="3589" max="3589" width="19.85546875" customWidth="1"/>
    <col min="3590" max="3590" width="17.28515625" customWidth="1"/>
    <col min="3591" max="3591" width="20.7109375" customWidth="1"/>
    <col min="3592" max="3592" width="36.28515625" customWidth="1"/>
    <col min="3593" max="3593" width="45.7109375" customWidth="1"/>
    <col min="3842" max="3842" width="6.85546875" customWidth="1"/>
    <col min="3843" max="3843" width="93.28515625" customWidth="1"/>
    <col min="3844" max="3844" width="21.28515625" customWidth="1"/>
    <col min="3845" max="3845" width="19.85546875" customWidth="1"/>
    <col min="3846" max="3846" width="17.28515625" customWidth="1"/>
    <col min="3847" max="3847" width="20.7109375" customWidth="1"/>
    <col min="3848" max="3848" width="36.28515625" customWidth="1"/>
    <col min="3849" max="3849" width="45.7109375" customWidth="1"/>
    <col min="4098" max="4098" width="6.85546875" customWidth="1"/>
    <col min="4099" max="4099" width="93.28515625" customWidth="1"/>
    <col min="4100" max="4100" width="21.28515625" customWidth="1"/>
    <col min="4101" max="4101" width="19.85546875" customWidth="1"/>
    <col min="4102" max="4102" width="17.28515625" customWidth="1"/>
    <col min="4103" max="4103" width="20.7109375" customWidth="1"/>
    <col min="4104" max="4104" width="36.28515625" customWidth="1"/>
    <col min="4105" max="4105" width="45.7109375" customWidth="1"/>
    <col min="4354" max="4354" width="6.85546875" customWidth="1"/>
    <col min="4355" max="4355" width="93.28515625" customWidth="1"/>
    <col min="4356" max="4356" width="21.28515625" customWidth="1"/>
    <col min="4357" max="4357" width="19.85546875" customWidth="1"/>
    <col min="4358" max="4358" width="17.28515625" customWidth="1"/>
    <col min="4359" max="4359" width="20.7109375" customWidth="1"/>
    <col min="4360" max="4360" width="36.28515625" customWidth="1"/>
    <col min="4361" max="4361" width="45.7109375" customWidth="1"/>
    <col min="4610" max="4610" width="6.85546875" customWidth="1"/>
    <col min="4611" max="4611" width="93.28515625" customWidth="1"/>
    <col min="4612" max="4612" width="21.28515625" customWidth="1"/>
    <col min="4613" max="4613" width="19.85546875" customWidth="1"/>
    <col min="4614" max="4614" width="17.28515625" customWidth="1"/>
    <col min="4615" max="4615" width="20.7109375" customWidth="1"/>
    <col min="4616" max="4616" width="36.28515625" customWidth="1"/>
    <col min="4617" max="4617" width="45.7109375" customWidth="1"/>
    <col min="4866" max="4866" width="6.85546875" customWidth="1"/>
    <col min="4867" max="4867" width="93.28515625" customWidth="1"/>
    <col min="4868" max="4868" width="21.28515625" customWidth="1"/>
    <col min="4869" max="4869" width="19.85546875" customWidth="1"/>
    <col min="4870" max="4870" width="17.28515625" customWidth="1"/>
    <col min="4871" max="4871" width="20.7109375" customWidth="1"/>
    <col min="4872" max="4872" width="36.28515625" customWidth="1"/>
    <col min="4873" max="4873" width="45.7109375" customWidth="1"/>
    <col min="5122" max="5122" width="6.85546875" customWidth="1"/>
    <col min="5123" max="5123" width="93.28515625" customWidth="1"/>
    <col min="5124" max="5124" width="21.28515625" customWidth="1"/>
    <col min="5125" max="5125" width="19.85546875" customWidth="1"/>
    <col min="5126" max="5126" width="17.28515625" customWidth="1"/>
    <col min="5127" max="5127" width="20.7109375" customWidth="1"/>
    <col min="5128" max="5128" width="36.28515625" customWidth="1"/>
    <col min="5129" max="5129" width="45.7109375" customWidth="1"/>
    <col min="5378" max="5378" width="6.85546875" customWidth="1"/>
    <col min="5379" max="5379" width="93.28515625" customWidth="1"/>
    <col min="5380" max="5380" width="21.28515625" customWidth="1"/>
    <col min="5381" max="5381" width="19.85546875" customWidth="1"/>
    <col min="5382" max="5382" width="17.28515625" customWidth="1"/>
    <col min="5383" max="5383" width="20.7109375" customWidth="1"/>
    <col min="5384" max="5384" width="36.28515625" customWidth="1"/>
    <col min="5385" max="5385" width="45.7109375" customWidth="1"/>
    <col min="5634" max="5634" width="6.85546875" customWidth="1"/>
    <col min="5635" max="5635" width="93.28515625" customWidth="1"/>
    <col min="5636" max="5636" width="21.28515625" customWidth="1"/>
    <col min="5637" max="5637" width="19.85546875" customWidth="1"/>
    <col min="5638" max="5638" width="17.28515625" customWidth="1"/>
    <col min="5639" max="5639" width="20.7109375" customWidth="1"/>
    <col min="5640" max="5640" width="36.28515625" customWidth="1"/>
    <col min="5641" max="5641" width="45.7109375" customWidth="1"/>
    <col min="5890" max="5890" width="6.85546875" customWidth="1"/>
    <col min="5891" max="5891" width="93.28515625" customWidth="1"/>
    <col min="5892" max="5892" width="21.28515625" customWidth="1"/>
    <col min="5893" max="5893" width="19.85546875" customWidth="1"/>
    <col min="5894" max="5894" width="17.28515625" customWidth="1"/>
    <col min="5895" max="5895" width="20.7109375" customWidth="1"/>
    <col min="5896" max="5896" width="36.28515625" customWidth="1"/>
    <col min="5897" max="5897" width="45.7109375" customWidth="1"/>
    <col min="6146" max="6146" width="6.85546875" customWidth="1"/>
    <col min="6147" max="6147" width="93.28515625" customWidth="1"/>
    <col min="6148" max="6148" width="21.28515625" customWidth="1"/>
    <col min="6149" max="6149" width="19.85546875" customWidth="1"/>
    <col min="6150" max="6150" width="17.28515625" customWidth="1"/>
    <col min="6151" max="6151" width="20.7109375" customWidth="1"/>
    <col min="6152" max="6152" width="36.28515625" customWidth="1"/>
    <col min="6153" max="6153" width="45.7109375" customWidth="1"/>
    <col min="6402" max="6402" width="6.85546875" customWidth="1"/>
    <col min="6403" max="6403" width="93.28515625" customWidth="1"/>
    <col min="6404" max="6404" width="21.28515625" customWidth="1"/>
    <col min="6405" max="6405" width="19.85546875" customWidth="1"/>
    <col min="6406" max="6406" width="17.28515625" customWidth="1"/>
    <col min="6407" max="6407" width="20.7109375" customWidth="1"/>
    <col min="6408" max="6408" width="36.28515625" customWidth="1"/>
    <col min="6409" max="6409" width="45.7109375" customWidth="1"/>
    <col min="6658" max="6658" width="6.85546875" customWidth="1"/>
    <col min="6659" max="6659" width="93.28515625" customWidth="1"/>
    <col min="6660" max="6660" width="21.28515625" customWidth="1"/>
    <col min="6661" max="6661" width="19.85546875" customWidth="1"/>
    <col min="6662" max="6662" width="17.28515625" customWidth="1"/>
    <col min="6663" max="6663" width="20.7109375" customWidth="1"/>
    <col min="6664" max="6664" width="36.28515625" customWidth="1"/>
    <col min="6665" max="6665" width="45.7109375" customWidth="1"/>
    <col min="6914" max="6914" width="6.85546875" customWidth="1"/>
    <col min="6915" max="6915" width="93.28515625" customWidth="1"/>
    <col min="6916" max="6916" width="21.28515625" customWidth="1"/>
    <col min="6917" max="6917" width="19.85546875" customWidth="1"/>
    <col min="6918" max="6918" width="17.28515625" customWidth="1"/>
    <col min="6919" max="6919" width="20.7109375" customWidth="1"/>
    <col min="6920" max="6920" width="36.28515625" customWidth="1"/>
    <col min="6921" max="6921" width="45.7109375" customWidth="1"/>
    <col min="7170" max="7170" width="6.85546875" customWidth="1"/>
    <col min="7171" max="7171" width="93.28515625" customWidth="1"/>
    <col min="7172" max="7172" width="21.28515625" customWidth="1"/>
    <col min="7173" max="7173" width="19.85546875" customWidth="1"/>
    <col min="7174" max="7174" width="17.28515625" customWidth="1"/>
    <col min="7175" max="7175" width="20.7109375" customWidth="1"/>
    <col min="7176" max="7176" width="36.28515625" customWidth="1"/>
    <col min="7177" max="7177" width="45.7109375" customWidth="1"/>
    <col min="7426" max="7426" width="6.85546875" customWidth="1"/>
    <col min="7427" max="7427" width="93.28515625" customWidth="1"/>
    <col min="7428" max="7428" width="21.28515625" customWidth="1"/>
    <col min="7429" max="7429" width="19.85546875" customWidth="1"/>
    <col min="7430" max="7430" width="17.28515625" customWidth="1"/>
    <col min="7431" max="7431" width="20.7109375" customWidth="1"/>
    <col min="7432" max="7432" width="36.28515625" customWidth="1"/>
    <col min="7433" max="7433" width="45.7109375" customWidth="1"/>
    <col min="7682" max="7682" width="6.85546875" customWidth="1"/>
    <col min="7683" max="7683" width="93.28515625" customWidth="1"/>
    <col min="7684" max="7684" width="21.28515625" customWidth="1"/>
    <col min="7685" max="7685" width="19.85546875" customWidth="1"/>
    <col min="7686" max="7686" width="17.28515625" customWidth="1"/>
    <col min="7687" max="7687" width="20.7109375" customWidth="1"/>
    <col min="7688" max="7688" width="36.28515625" customWidth="1"/>
    <col min="7689" max="7689" width="45.7109375" customWidth="1"/>
    <col min="7938" max="7938" width="6.85546875" customWidth="1"/>
    <col min="7939" max="7939" width="93.28515625" customWidth="1"/>
    <col min="7940" max="7940" width="21.28515625" customWidth="1"/>
    <col min="7941" max="7941" width="19.85546875" customWidth="1"/>
    <col min="7942" max="7942" width="17.28515625" customWidth="1"/>
    <col min="7943" max="7943" width="20.7109375" customWidth="1"/>
    <col min="7944" max="7944" width="36.28515625" customWidth="1"/>
    <col min="7945" max="7945" width="45.7109375" customWidth="1"/>
    <col min="8194" max="8194" width="6.85546875" customWidth="1"/>
    <col min="8195" max="8195" width="93.28515625" customWidth="1"/>
    <col min="8196" max="8196" width="21.28515625" customWidth="1"/>
    <col min="8197" max="8197" width="19.85546875" customWidth="1"/>
    <col min="8198" max="8198" width="17.28515625" customWidth="1"/>
    <col min="8199" max="8199" width="20.7109375" customWidth="1"/>
    <col min="8200" max="8200" width="36.28515625" customWidth="1"/>
    <col min="8201" max="8201" width="45.7109375" customWidth="1"/>
    <col min="8450" max="8450" width="6.85546875" customWidth="1"/>
    <col min="8451" max="8451" width="93.28515625" customWidth="1"/>
    <col min="8452" max="8452" width="21.28515625" customWidth="1"/>
    <col min="8453" max="8453" width="19.85546875" customWidth="1"/>
    <col min="8454" max="8454" width="17.28515625" customWidth="1"/>
    <col min="8455" max="8455" width="20.7109375" customWidth="1"/>
    <col min="8456" max="8456" width="36.28515625" customWidth="1"/>
    <col min="8457" max="8457" width="45.7109375" customWidth="1"/>
    <col min="8706" max="8706" width="6.85546875" customWidth="1"/>
    <col min="8707" max="8707" width="93.28515625" customWidth="1"/>
    <col min="8708" max="8708" width="21.28515625" customWidth="1"/>
    <col min="8709" max="8709" width="19.85546875" customWidth="1"/>
    <col min="8710" max="8710" width="17.28515625" customWidth="1"/>
    <col min="8711" max="8711" width="20.7109375" customWidth="1"/>
    <col min="8712" max="8712" width="36.28515625" customWidth="1"/>
    <col min="8713" max="8713" width="45.7109375" customWidth="1"/>
    <col min="8962" max="8962" width="6.85546875" customWidth="1"/>
    <col min="8963" max="8963" width="93.28515625" customWidth="1"/>
    <col min="8964" max="8964" width="21.28515625" customWidth="1"/>
    <col min="8965" max="8965" width="19.85546875" customWidth="1"/>
    <col min="8966" max="8966" width="17.28515625" customWidth="1"/>
    <col min="8967" max="8967" width="20.7109375" customWidth="1"/>
    <col min="8968" max="8968" width="36.28515625" customWidth="1"/>
    <col min="8969" max="8969" width="45.7109375" customWidth="1"/>
    <col min="9218" max="9218" width="6.85546875" customWidth="1"/>
    <col min="9219" max="9219" width="93.28515625" customWidth="1"/>
    <col min="9220" max="9220" width="21.28515625" customWidth="1"/>
    <col min="9221" max="9221" width="19.85546875" customWidth="1"/>
    <col min="9222" max="9222" width="17.28515625" customWidth="1"/>
    <col min="9223" max="9223" width="20.7109375" customWidth="1"/>
    <col min="9224" max="9224" width="36.28515625" customWidth="1"/>
    <col min="9225" max="9225" width="45.7109375" customWidth="1"/>
    <col min="9474" max="9474" width="6.85546875" customWidth="1"/>
    <col min="9475" max="9475" width="93.28515625" customWidth="1"/>
    <col min="9476" max="9476" width="21.28515625" customWidth="1"/>
    <col min="9477" max="9477" width="19.85546875" customWidth="1"/>
    <col min="9478" max="9478" width="17.28515625" customWidth="1"/>
    <col min="9479" max="9479" width="20.7109375" customWidth="1"/>
    <col min="9480" max="9480" width="36.28515625" customWidth="1"/>
    <col min="9481" max="9481" width="45.7109375" customWidth="1"/>
    <col min="9730" max="9730" width="6.85546875" customWidth="1"/>
    <col min="9731" max="9731" width="93.28515625" customWidth="1"/>
    <col min="9732" max="9732" width="21.28515625" customWidth="1"/>
    <col min="9733" max="9733" width="19.85546875" customWidth="1"/>
    <col min="9734" max="9734" width="17.28515625" customWidth="1"/>
    <col min="9735" max="9735" width="20.7109375" customWidth="1"/>
    <col min="9736" max="9736" width="36.28515625" customWidth="1"/>
    <col min="9737" max="9737" width="45.7109375" customWidth="1"/>
    <col min="9986" max="9986" width="6.85546875" customWidth="1"/>
    <col min="9987" max="9987" width="93.28515625" customWidth="1"/>
    <col min="9988" max="9988" width="21.28515625" customWidth="1"/>
    <col min="9989" max="9989" width="19.85546875" customWidth="1"/>
    <col min="9990" max="9990" width="17.28515625" customWidth="1"/>
    <col min="9991" max="9991" width="20.7109375" customWidth="1"/>
    <col min="9992" max="9992" width="36.28515625" customWidth="1"/>
    <col min="9993" max="9993" width="45.7109375" customWidth="1"/>
    <col min="10242" max="10242" width="6.85546875" customWidth="1"/>
    <col min="10243" max="10243" width="93.28515625" customWidth="1"/>
    <col min="10244" max="10244" width="21.28515625" customWidth="1"/>
    <col min="10245" max="10245" width="19.85546875" customWidth="1"/>
    <col min="10246" max="10246" width="17.28515625" customWidth="1"/>
    <col min="10247" max="10247" width="20.7109375" customWidth="1"/>
    <col min="10248" max="10248" width="36.28515625" customWidth="1"/>
    <col min="10249" max="10249" width="45.7109375" customWidth="1"/>
    <col min="10498" max="10498" width="6.85546875" customWidth="1"/>
    <col min="10499" max="10499" width="93.28515625" customWidth="1"/>
    <col min="10500" max="10500" width="21.28515625" customWidth="1"/>
    <col min="10501" max="10501" width="19.85546875" customWidth="1"/>
    <col min="10502" max="10502" width="17.28515625" customWidth="1"/>
    <col min="10503" max="10503" width="20.7109375" customWidth="1"/>
    <col min="10504" max="10504" width="36.28515625" customWidth="1"/>
    <col min="10505" max="10505" width="45.7109375" customWidth="1"/>
    <col min="10754" max="10754" width="6.85546875" customWidth="1"/>
    <col min="10755" max="10755" width="93.28515625" customWidth="1"/>
    <col min="10756" max="10756" width="21.28515625" customWidth="1"/>
    <col min="10757" max="10757" width="19.85546875" customWidth="1"/>
    <col min="10758" max="10758" width="17.28515625" customWidth="1"/>
    <col min="10759" max="10759" width="20.7109375" customWidth="1"/>
    <col min="10760" max="10760" width="36.28515625" customWidth="1"/>
    <col min="10761" max="10761" width="45.7109375" customWidth="1"/>
    <col min="11010" max="11010" width="6.85546875" customWidth="1"/>
    <col min="11011" max="11011" width="93.28515625" customWidth="1"/>
    <col min="11012" max="11012" width="21.28515625" customWidth="1"/>
    <col min="11013" max="11013" width="19.85546875" customWidth="1"/>
    <col min="11014" max="11014" width="17.28515625" customWidth="1"/>
    <col min="11015" max="11015" width="20.7109375" customWidth="1"/>
    <col min="11016" max="11016" width="36.28515625" customWidth="1"/>
    <col min="11017" max="11017" width="45.7109375" customWidth="1"/>
    <col min="11266" max="11266" width="6.85546875" customWidth="1"/>
    <col min="11267" max="11267" width="93.28515625" customWidth="1"/>
    <col min="11268" max="11268" width="21.28515625" customWidth="1"/>
    <col min="11269" max="11269" width="19.85546875" customWidth="1"/>
    <col min="11270" max="11270" width="17.28515625" customWidth="1"/>
    <col min="11271" max="11271" width="20.7109375" customWidth="1"/>
    <col min="11272" max="11272" width="36.28515625" customWidth="1"/>
    <col min="11273" max="11273" width="45.7109375" customWidth="1"/>
    <col min="11522" max="11522" width="6.85546875" customWidth="1"/>
    <col min="11523" max="11523" width="93.28515625" customWidth="1"/>
    <col min="11524" max="11524" width="21.28515625" customWidth="1"/>
    <col min="11525" max="11525" width="19.85546875" customWidth="1"/>
    <col min="11526" max="11526" width="17.28515625" customWidth="1"/>
    <col min="11527" max="11527" width="20.7109375" customWidth="1"/>
    <col min="11528" max="11528" width="36.28515625" customWidth="1"/>
    <col min="11529" max="11529" width="45.7109375" customWidth="1"/>
    <col min="11778" max="11778" width="6.85546875" customWidth="1"/>
    <col min="11779" max="11779" width="93.28515625" customWidth="1"/>
    <col min="11780" max="11780" width="21.28515625" customWidth="1"/>
    <col min="11781" max="11781" width="19.85546875" customWidth="1"/>
    <col min="11782" max="11782" width="17.28515625" customWidth="1"/>
    <col min="11783" max="11783" width="20.7109375" customWidth="1"/>
    <col min="11784" max="11784" width="36.28515625" customWidth="1"/>
    <col min="11785" max="11785" width="45.7109375" customWidth="1"/>
    <col min="12034" max="12034" width="6.85546875" customWidth="1"/>
    <col min="12035" max="12035" width="93.28515625" customWidth="1"/>
    <col min="12036" max="12036" width="21.28515625" customWidth="1"/>
    <col min="12037" max="12037" width="19.85546875" customWidth="1"/>
    <col min="12038" max="12038" width="17.28515625" customWidth="1"/>
    <col min="12039" max="12039" width="20.7109375" customWidth="1"/>
    <col min="12040" max="12040" width="36.28515625" customWidth="1"/>
    <col min="12041" max="12041" width="45.7109375" customWidth="1"/>
    <col min="12290" max="12290" width="6.85546875" customWidth="1"/>
    <col min="12291" max="12291" width="93.28515625" customWidth="1"/>
    <col min="12292" max="12292" width="21.28515625" customWidth="1"/>
    <col min="12293" max="12293" width="19.85546875" customWidth="1"/>
    <col min="12294" max="12294" width="17.28515625" customWidth="1"/>
    <col min="12295" max="12295" width="20.7109375" customWidth="1"/>
    <col min="12296" max="12296" width="36.28515625" customWidth="1"/>
    <col min="12297" max="12297" width="45.7109375" customWidth="1"/>
    <col min="12546" max="12546" width="6.85546875" customWidth="1"/>
    <col min="12547" max="12547" width="93.28515625" customWidth="1"/>
    <col min="12548" max="12548" width="21.28515625" customWidth="1"/>
    <col min="12549" max="12549" width="19.85546875" customWidth="1"/>
    <col min="12550" max="12550" width="17.28515625" customWidth="1"/>
    <col min="12551" max="12551" width="20.7109375" customWidth="1"/>
    <col min="12552" max="12552" width="36.28515625" customWidth="1"/>
    <col min="12553" max="12553" width="45.7109375" customWidth="1"/>
    <col min="12802" max="12802" width="6.85546875" customWidth="1"/>
    <col min="12803" max="12803" width="93.28515625" customWidth="1"/>
    <col min="12804" max="12804" width="21.28515625" customWidth="1"/>
    <col min="12805" max="12805" width="19.85546875" customWidth="1"/>
    <col min="12806" max="12806" width="17.28515625" customWidth="1"/>
    <col min="12807" max="12807" width="20.7109375" customWidth="1"/>
    <col min="12808" max="12808" width="36.28515625" customWidth="1"/>
    <col min="12809" max="12809" width="45.7109375" customWidth="1"/>
    <col min="13058" max="13058" width="6.85546875" customWidth="1"/>
    <col min="13059" max="13059" width="93.28515625" customWidth="1"/>
    <col min="13060" max="13060" width="21.28515625" customWidth="1"/>
    <col min="13061" max="13061" width="19.85546875" customWidth="1"/>
    <col min="13062" max="13062" width="17.28515625" customWidth="1"/>
    <col min="13063" max="13063" width="20.7109375" customWidth="1"/>
    <col min="13064" max="13064" width="36.28515625" customWidth="1"/>
    <col min="13065" max="13065" width="45.7109375" customWidth="1"/>
    <col min="13314" max="13314" width="6.85546875" customWidth="1"/>
    <col min="13315" max="13315" width="93.28515625" customWidth="1"/>
    <col min="13316" max="13316" width="21.28515625" customWidth="1"/>
    <col min="13317" max="13317" width="19.85546875" customWidth="1"/>
    <col min="13318" max="13318" width="17.28515625" customWidth="1"/>
    <col min="13319" max="13319" width="20.7109375" customWidth="1"/>
    <col min="13320" max="13320" width="36.28515625" customWidth="1"/>
    <col min="13321" max="13321" width="45.7109375" customWidth="1"/>
    <col min="13570" max="13570" width="6.85546875" customWidth="1"/>
    <col min="13571" max="13571" width="93.28515625" customWidth="1"/>
    <col min="13572" max="13572" width="21.28515625" customWidth="1"/>
    <col min="13573" max="13573" width="19.85546875" customWidth="1"/>
    <col min="13574" max="13574" width="17.28515625" customWidth="1"/>
    <col min="13575" max="13575" width="20.7109375" customWidth="1"/>
    <col min="13576" max="13576" width="36.28515625" customWidth="1"/>
    <col min="13577" max="13577" width="45.7109375" customWidth="1"/>
    <col min="13826" max="13826" width="6.85546875" customWidth="1"/>
    <col min="13827" max="13827" width="93.28515625" customWidth="1"/>
    <col min="13828" max="13828" width="21.28515625" customWidth="1"/>
    <col min="13829" max="13829" width="19.85546875" customWidth="1"/>
    <col min="13830" max="13830" width="17.28515625" customWidth="1"/>
    <col min="13831" max="13831" width="20.7109375" customWidth="1"/>
    <col min="13832" max="13832" width="36.28515625" customWidth="1"/>
    <col min="13833" max="13833" width="45.7109375" customWidth="1"/>
    <col min="14082" max="14082" width="6.85546875" customWidth="1"/>
    <col min="14083" max="14083" width="93.28515625" customWidth="1"/>
    <col min="14084" max="14084" width="21.28515625" customWidth="1"/>
    <col min="14085" max="14085" width="19.85546875" customWidth="1"/>
    <col min="14086" max="14086" width="17.28515625" customWidth="1"/>
    <col min="14087" max="14087" width="20.7109375" customWidth="1"/>
    <col min="14088" max="14088" width="36.28515625" customWidth="1"/>
    <col min="14089" max="14089" width="45.7109375" customWidth="1"/>
    <col min="14338" max="14338" width="6.85546875" customWidth="1"/>
    <col min="14339" max="14339" width="93.28515625" customWidth="1"/>
    <col min="14340" max="14340" width="21.28515625" customWidth="1"/>
    <col min="14341" max="14341" width="19.85546875" customWidth="1"/>
    <col min="14342" max="14342" width="17.28515625" customWidth="1"/>
    <col min="14343" max="14343" width="20.7109375" customWidth="1"/>
    <col min="14344" max="14344" width="36.28515625" customWidth="1"/>
    <col min="14345" max="14345" width="45.7109375" customWidth="1"/>
    <col min="14594" max="14594" width="6.85546875" customWidth="1"/>
    <col min="14595" max="14595" width="93.28515625" customWidth="1"/>
    <col min="14596" max="14596" width="21.28515625" customWidth="1"/>
    <col min="14597" max="14597" width="19.85546875" customWidth="1"/>
    <col min="14598" max="14598" width="17.28515625" customWidth="1"/>
    <col min="14599" max="14599" width="20.7109375" customWidth="1"/>
    <col min="14600" max="14600" width="36.28515625" customWidth="1"/>
    <col min="14601" max="14601" width="45.7109375" customWidth="1"/>
    <col min="14850" max="14850" width="6.85546875" customWidth="1"/>
    <col min="14851" max="14851" width="93.28515625" customWidth="1"/>
    <col min="14852" max="14852" width="21.28515625" customWidth="1"/>
    <col min="14853" max="14853" width="19.85546875" customWidth="1"/>
    <col min="14854" max="14854" width="17.28515625" customWidth="1"/>
    <col min="14855" max="14855" width="20.7109375" customWidth="1"/>
    <col min="14856" max="14856" width="36.28515625" customWidth="1"/>
    <col min="14857" max="14857" width="45.7109375" customWidth="1"/>
    <col min="15106" max="15106" width="6.85546875" customWidth="1"/>
    <col min="15107" max="15107" width="93.28515625" customWidth="1"/>
    <col min="15108" max="15108" width="21.28515625" customWidth="1"/>
    <col min="15109" max="15109" width="19.85546875" customWidth="1"/>
    <col min="15110" max="15110" width="17.28515625" customWidth="1"/>
    <col min="15111" max="15111" width="20.7109375" customWidth="1"/>
    <col min="15112" max="15112" width="36.28515625" customWidth="1"/>
    <col min="15113" max="15113" width="45.7109375" customWidth="1"/>
    <col min="15362" max="15362" width="6.85546875" customWidth="1"/>
    <col min="15363" max="15363" width="93.28515625" customWidth="1"/>
    <col min="15364" max="15364" width="21.28515625" customWidth="1"/>
    <col min="15365" max="15365" width="19.85546875" customWidth="1"/>
    <col min="15366" max="15366" width="17.28515625" customWidth="1"/>
    <col min="15367" max="15367" width="20.7109375" customWidth="1"/>
    <col min="15368" max="15368" width="36.28515625" customWidth="1"/>
    <col min="15369" max="15369" width="45.7109375" customWidth="1"/>
    <col min="15618" max="15618" width="6.85546875" customWidth="1"/>
    <col min="15619" max="15619" width="93.28515625" customWidth="1"/>
    <col min="15620" max="15620" width="21.28515625" customWidth="1"/>
    <col min="15621" max="15621" width="19.85546875" customWidth="1"/>
    <col min="15622" max="15622" width="17.28515625" customWidth="1"/>
    <col min="15623" max="15623" width="20.7109375" customWidth="1"/>
    <col min="15624" max="15624" width="36.28515625" customWidth="1"/>
    <col min="15625" max="15625" width="45.7109375" customWidth="1"/>
    <col min="15874" max="15874" width="6.85546875" customWidth="1"/>
    <col min="15875" max="15875" width="93.28515625" customWidth="1"/>
    <col min="15876" max="15876" width="21.28515625" customWidth="1"/>
    <col min="15877" max="15877" width="19.85546875" customWidth="1"/>
    <col min="15878" max="15878" width="17.28515625" customWidth="1"/>
    <col min="15879" max="15879" width="20.7109375" customWidth="1"/>
    <col min="15880" max="15880" width="36.28515625" customWidth="1"/>
    <col min="15881" max="15881" width="45.7109375" customWidth="1"/>
    <col min="16130" max="16130" width="6.85546875" customWidth="1"/>
    <col min="16131" max="16131" width="93.28515625" customWidth="1"/>
    <col min="16132" max="16132" width="21.28515625" customWidth="1"/>
    <col min="16133" max="16133" width="19.85546875" customWidth="1"/>
    <col min="16134" max="16134" width="17.28515625" customWidth="1"/>
    <col min="16135" max="16135" width="20.7109375" customWidth="1"/>
    <col min="16136" max="16136" width="36.28515625" customWidth="1"/>
    <col min="16137" max="16137" width="45.7109375" customWidth="1"/>
  </cols>
  <sheetData>
    <row r="1" spans="2:10" ht="15.75" thickBot="1" x14ac:dyDescent="0.3"/>
    <row r="2" spans="2:10" ht="110.25" customHeight="1" x14ac:dyDescent="0.25">
      <c r="B2" s="183" t="s">
        <v>307</v>
      </c>
      <c r="C2" s="184"/>
      <c r="D2" s="184"/>
      <c r="E2" s="184"/>
      <c r="F2" s="184"/>
      <c r="G2" s="184"/>
      <c r="H2" s="184"/>
      <c r="I2" s="184"/>
      <c r="J2" s="185"/>
    </row>
    <row r="3" spans="2:10" ht="45" x14ac:dyDescent="0.25">
      <c r="B3" s="140" t="s">
        <v>13</v>
      </c>
      <c r="C3" s="141" t="s">
        <v>14</v>
      </c>
      <c r="D3" s="141" t="s">
        <v>209</v>
      </c>
      <c r="E3" s="141" t="s">
        <v>325</v>
      </c>
      <c r="F3" s="142" t="s">
        <v>324</v>
      </c>
      <c r="G3" s="141" t="s">
        <v>308</v>
      </c>
      <c r="H3" s="143" t="s">
        <v>333</v>
      </c>
      <c r="I3" s="143" t="s">
        <v>334</v>
      </c>
      <c r="J3" s="17"/>
    </row>
    <row r="4" spans="2:10" ht="39.950000000000003" customHeight="1" x14ac:dyDescent="0.25">
      <c r="B4" s="20" t="s">
        <v>15</v>
      </c>
      <c r="C4" s="21" t="s">
        <v>16</v>
      </c>
      <c r="D4" s="21" t="s">
        <v>17</v>
      </c>
      <c r="E4" s="21" t="s">
        <v>203</v>
      </c>
      <c r="F4" s="22" t="s">
        <v>18</v>
      </c>
      <c r="G4" s="21" t="s">
        <v>19</v>
      </c>
      <c r="H4" s="22" t="s">
        <v>20</v>
      </c>
      <c r="I4" s="22" t="s">
        <v>332</v>
      </c>
      <c r="J4" s="5"/>
    </row>
    <row r="5" spans="2:10" ht="18" x14ac:dyDescent="0.25">
      <c r="B5" s="23"/>
      <c r="C5" s="139" t="s">
        <v>21</v>
      </c>
      <c r="D5" s="113">
        <f>D6</f>
        <v>277556.2744521866</v>
      </c>
      <c r="E5" s="113">
        <v>982230</v>
      </c>
      <c r="F5" s="114">
        <f>F6</f>
        <v>958471</v>
      </c>
      <c r="G5" s="113">
        <f>G6</f>
        <v>392877.18000000005</v>
      </c>
      <c r="H5" s="114">
        <f>G5/D5*100</f>
        <v>141.54865739404471</v>
      </c>
      <c r="I5" s="114">
        <f>G5/F5*100</f>
        <v>40.989991350807699</v>
      </c>
      <c r="J5" s="5"/>
    </row>
    <row r="6" spans="2:10" ht="39.950000000000003" customHeight="1" x14ac:dyDescent="0.25">
      <c r="B6" s="121">
        <v>6</v>
      </c>
      <c r="C6" s="24" t="s">
        <v>22</v>
      </c>
      <c r="D6" s="114">
        <f>SUM(D7,D11,D16,D19,D26)</f>
        <v>277556.2744521866</v>
      </c>
      <c r="E6" s="114">
        <v>982230</v>
      </c>
      <c r="F6" s="114">
        <f>F7+F11+F16+F19+F26</f>
        <v>958471</v>
      </c>
      <c r="G6" s="114">
        <f>SUM(G7,G11,G16,G19,G26)</f>
        <v>392877.18000000005</v>
      </c>
      <c r="H6" s="114">
        <f>G6/D6*100</f>
        <v>141.54865739404471</v>
      </c>
      <c r="I6" s="114">
        <f t="shared" ref="I6:I33" si="0">G6/F6*100</f>
        <v>40.989991350807699</v>
      </c>
      <c r="J6" s="5"/>
    </row>
    <row r="7" spans="2:10" ht="39.950000000000003" customHeight="1" x14ac:dyDescent="0.25">
      <c r="B7" s="121">
        <v>63</v>
      </c>
      <c r="C7" s="24" t="s">
        <v>23</v>
      </c>
      <c r="D7" s="114">
        <v>11851.88</v>
      </c>
      <c r="E7" s="114">
        <v>51495</v>
      </c>
      <c r="F7" s="114">
        <v>27736</v>
      </c>
      <c r="G7" s="114">
        <f>SUM(G8)</f>
        <v>14275.78</v>
      </c>
      <c r="H7" s="116">
        <f>G7/D7*100</f>
        <v>120.45160767743177</v>
      </c>
      <c r="I7" s="114">
        <f t="shared" si="0"/>
        <v>51.470219209691379</v>
      </c>
      <c r="J7" s="5"/>
    </row>
    <row r="8" spans="2:10" ht="39.950000000000003" customHeight="1" x14ac:dyDescent="0.25">
      <c r="B8" s="121">
        <v>636</v>
      </c>
      <c r="C8" s="24" t="s">
        <v>24</v>
      </c>
      <c r="D8" s="114">
        <f>SUM(D9:D10)</f>
        <v>11851.881345809277</v>
      </c>
      <c r="E8" s="114"/>
      <c r="F8" s="114"/>
      <c r="G8" s="114">
        <f>SUM(G9:G10)</f>
        <v>14275.78</v>
      </c>
      <c r="H8" s="114">
        <f>(G8/D8)*100</f>
        <v>120.45159399986562</v>
      </c>
      <c r="I8" s="114"/>
      <c r="J8" s="5"/>
    </row>
    <row r="9" spans="2:10" ht="39.950000000000003" customHeight="1" x14ac:dyDescent="0.25">
      <c r="B9" s="66">
        <v>6361</v>
      </c>
      <c r="C9" s="138" t="s">
        <v>25</v>
      </c>
      <c r="D9" s="115">
        <f>76498/7.5345</f>
        <v>10153.029398102064</v>
      </c>
      <c r="E9" s="115"/>
      <c r="F9" s="53"/>
      <c r="G9" s="115">
        <v>12615.78</v>
      </c>
      <c r="H9" s="115">
        <f>G9/D9*100</f>
        <v>124.25631311929723</v>
      </c>
      <c r="I9" s="53"/>
      <c r="J9" s="5"/>
    </row>
    <row r="10" spans="2:10" ht="39.950000000000003" customHeight="1" x14ac:dyDescent="0.25">
      <c r="B10" s="66">
        <v>6362</v>
      </c>
      <c r="C10" s="138" t="s">
        <v>26</v>
      </c>
      <c r="D10" s="115">
        <f>12800/7.5345</f>
        <v>1698.8519477072134</v>
      </c>
      <c r="E10" s="115"/>
      <c r="F10" s="53"/>
      <c r="G10" s="115">
        <v>1660</v>
      </c>
      <c r="H10" s="115">
        <f>G10/D9*100</f>
        <v>16.349799994771104</v>
      </c>
      <c r="I10" s="53"/>
      <c r="J10" s="5"/>
    </row>
    <row r="11" spans="2:10" ht="39.950000000000003" customHeight="1" x14ac:dyDescent="0.25">
      <c r="B11" s="121">
        <v>64</v>
      </c>
      <c r="C11" s="24" t="s">
        <v>27</v>
      </c>
      <c r="D11" s="114">
        <f>D12</f>
        <v>6.7317008427898326</v>
      </c>
      <c r="E11" s="114">
        <v>13</v>
      </c>
      <c r="F11" s="114">
        <v>13</v>
      </c>
      <c r="G11" s="114">
        <f>G12</f>
        <v>0</v>
      </c>
      <c r="H11" s="114">
        <f>G11/D11*100</f>
        <v>0</v>
      </c>
      <c r="I11" s="114">
        <f t="shared" si="0"/>
        <v>0</v>
      </c>
      <c r="J11" s="5"/>
    </row>
    <row r="12" spans="2:10" ht="39.950000000000003" customHeight="1" x14ac:dyDescent="0.25">
      <c r="B12" s="121">
        <v>641</v>
      </c>
      <c r="C12" s="24" t="s">
        <v>28</v>
      </c>
      <c r="D12" s="114">
        <f>SUM(D13:D15)</f>
        <v>6.7317008427898326</v>
      </c>
      <c r="E12" s="114"/>
      <c r="F12" s="114"/>
      <c r="G12" s="114">
        <f>G13+G14+G15</f>
        <v>0</v>
      </c>
      <c r="H12" s="114">
        <f>G12/D12*100</f>
        <v>0</v>
      </c>
      <c r="I12" s="114"/>
      <c r="J12" s="5"/>
    </row>
    <row r="13" spans="2:10" ht="39.950000000000003" customHeight="1" x14ac:dyDescent="0.25">
      <c r="B13" s="60">
        <v>6413</v>
      </c>
      <c r="C13" s="25" t="s">
        <v>29</v>
      </c>
      <c r="D13" s="115">
        <f>14.92/7.5345</f>
        <v>1.9802243015462206</v>
      </c>
      <c r="E13" s="115"/>
      <c r="F13" s="53"/>
      <c r="G13" s="115">
        <v>0</v>
      </c>
      <c r="H13" s="115">
        <f>G13/D13*100</f>
        <v>0</v>
      </c>
      <c r="I13" s="53"/>
      <c r="J13" s="5"/>
    </row>
    <row r="14" spans="2:10" ht="39.950000000000003" customHeight="1" x14ac:dyDescent="0.25">
      <c r="B14" s="60">
        <v>6414</v>
      </c>
      <c r="C14" s="25" t="s">
        <v>172</v>
      </c>
      <c r="D14" s="115">
        <v>0</v>
      </c>
      <c r="E14" s="115"/>
      <c r="F14" s="53"/>
      <c r="G14" s="115">
        <v>0</v>
      </c>
      <c r="H14" s="115"/>
      <c r="I14" s="114"/>
      <c r="J14" s="5"/>
    </row>
    <row r="15" spans="2:10" ht="39.950000000000003" customHeight="1" x14ac:dyDescent="0.25">
      <c r="B15" s="60">
        <v>6415</v>
      </c>
      <c r="C15" s="25" t="s">
        <v>173</v>
      </c>
      <c r="D15" s="115">
        <f>35.8/7.5345</f>
        <v>4.751476541243612</v>
      </c>
      <c r="E15" s="115"/>
      <c r="F15" s="53"/>
      <c r="G15" s="115">
        <v>0</v>
      </c>
      <c r="H15" s="115"/>
      <c r="I15" s="114"/>
      <c r="J15" s="5"/>
    </row>
    <row r="16" spans="2:10" ht="39.950000000000003" customHeight="1" x14ac:dyDescent="0.25">
      <c r="B16" s="121">
        <v>65</v>
      </c>
      <c r="C16" s="24" t="s">
        <v>30</v>
      </c>
      <c r="D16" s="114">
        <f t="shared" ref="D16:G17" si="1">D17</f>
        <v>126941.40288008493</v>
      </c>
      <c r="E16" s="114">
        <v>563008</v>
      </c>
      <c r="F16" s="114">
        <v>563008</v>
      </c>
      <c r="G16" s="114">
        <f t="shared" si="1"/>
        <v>212711.13</v>
      </c>
      <c r="H16" s="114">
        <f t="shared" ref="H16:H22" si="2">G16/D16*100</f>
        <v>167.56639297655894</v>
      </c>
      <c r="I16" s="114">
        <f t="shared" si="0"/>
        <v>37.781191386268048</v>
      </c>
      <c r="J16" s="5"/>
    </row>
    <row r="17" spans="2:10" ht="39.950000000000003" customHeight="1" x14ac:dyDescent="0.25">
      <c r="B17" s="121">
        <v>652</v>
      </c>
      <c r="C17" s="24" t="s">
        <v>31</v>
      </c>
      <c r="D17" s="114">
        <f t="shared" si="1"/>
        <v>126941.40288008493</v>
      </c>
      <c r="E17" s="114"/>
      <c r="F17" s="114"/>
      <c r="G17" s="114">
        <f t="shared" si="1"/>
        <v>212711.13</v>
      </c>
      <c r="H17" s="114">
        <f t="shared" si="2"/>
        <v>167.56639297655894</v>
      </c>
      <c r="I17" s="114"/>
      <c r="J17" s="5"/>
    </row>
    <row r="18" spans="2:10" ht="39.950000000000003" customHeight="1" x14ac:dyDescent="0.25">
      <c r="B18" s="60">
        <v>6526</v>
      </c>
      <c r="C18" s="25" t="s">
        <v>32</v>
      </c>
      <c r="D18" s="115">
        <f>956440/7.5345</f>
        <v>126941.40288008493</v>
      </c>
      <c r="E18" s="115"/>
      <c r="F18" s="53"/>
      <c r="G18" s="115">
        <v>212711.13</v>
      </c>
      <c r="H18" s="115">
        <f t="shared" si="2"/>
        <v>167.56639297655894</v>
      </c>
      <c r="I18" s="114"/>
      <c r="J18" s="5"/>
    </row>
    <row r="19" spans="2:10" ht="39.950000000000003" customHeight="1" x14ac:dyDescent="0.25">
      <c r="B19" s="121">
        <v>66</v>
      </c>
      <c r="C19" s="24" t="s">
        <v>33</v>
      </c>
      <c r="D19" s="114">
        <f>SUM(D20,D23)</f>
        <v>12499.011215077311</v>
      </c>
      <c r="E19" s="114">
        <v>37427</v>
      </c>
      <c r="F19" s="114">
        <v>37427</v>
      </c>
      <c r="G19" s="114">
        <f>SUM(G20,G23)</f>
        <v>14171.6</v>
      </c>
      <c r="H19" s="114">
        <f t="shared" si="2"/>
        <v>113.38176881468094</v>
      </c>
      <c r="I19" s="114">
        <f t="shared" si="0"/>
        <v>37.864643172041575</v>
      </c>
      <c r="J19" s="5"/>
    </row>
    <row r="20" spans="2:10" ht="39.950000000000003" customHeight="1" x14ac:dyDescent="0.25">
      <c r="B20" s="121">
        <v>661</v>
      </c>
      <c r="C20" s="24" t="s">
        <v>34</v>
      </c>
      <c r="D20" s="114">
        <f>SUM(D21:D22)</f>
        <v>11901.758577211494</v>
      </c>
      <c r="E20" s="114"/>
      <c r="F20" s="114"/>
      <c r="G20" s="114">
        <f>SUM(G21:G22)</f>
        <v>14171.6</v>
      </c>
      <c r="H20" s="114">
        <f t="shared" si="2"/>
        <v>119.07147929495572</v>
      </c>
      <c r="I20" s="114"/>
      <c r="J20" s="5"/>
    </row>
    <row r="21" spans="2:10" ht="39.950000000000003" customHeight="1" x14ac:dyDescent="0.25">
      <c r="B21" s="60">
        <v>6614</v>
      </c>
      <c r="C21" s="25" t="s">
        <v>35</v>
      </c>
      <c r="D21" s="115">
        <f>2205/7.5345</f>
        <v>292.65379255425046</v>
      </c>
      <c r="E21" s="115"/>
      <c r="F21" s="53"/>
      <c r="G21" s="115">
        <v>4602.7299999999996</v>
      </c>
      <c r="H21" s="115">
        <f t="shared" si="2"/>
        <v>1572.7559721088433</v>
      </c>
      <c r="I21" s="53"/>
      <c r="J21" s="5"/>
    </row>
    <row r="22" spans="2:10" ht="39.950000000000003" customHeight="1" x14ac:dyDescent="0.25">
      <c r="B22" s="60">
        <v>6615</v>
      </c>
      <c r="C22" s="25" t="s">
        <v>36</v>
      </c>
      <c r="D22" s="115">
        <f>87468.8/7.5345</f>
        <v>11609.104784657244</v>
      </c>
      <c r="E22" s="115"/>
      <c r="F22" s="53"/>
      <c r="G22" s="115">
        <v>9568.8700000000008</v>
      </c>
      <c r="H22" s="115">
        <f t="shared" si="2"/>
        <v>82.425563189388669</v>
      </c>
      <c r="I22" s="53"/>
      <c r="J22" s="5"/>
    </row>
    <row r="23" spans="2:10" ht="39.950000000000003" customHeight="1" x14ac:dyDescent="0.25">
      <c r="B23" s="121">
        <v>663</v>
      </c>
      <c r="C23" s="24" t="s">
        <v>37</v>
      </c>
      <c r="D23" s="116">
        <f>D24</f>
        <v>597.25263786581718</v>
      </c>
      <c r="E23" s="116"/>
      <c r="F23" s="114"/>
      <c r="G23" s="116">
        <f>G24+G25</f>
        <v>0</v>
      </c>
      <c r="H23" s="114">
        <v>0</v>
      </c>
      <c r="I23" s="114"/>
      <c r="J23" s="5"/>
    </row>
    <row r="24" spans="2:10" ht="39.950000000000003" customHeight="1" x14ac:dyDescent="0.25">
      <c r="B24" s="60">
        <v>6631</v>
      </c>
      <c r="C24" s="25" t="s">
        <v>38</v>
      </c>
      <c r="D24" s="115">
        <f>4500/7.5345</f>
        <v>597.25263786581718</v>
      </c>
      <c r="E24" s="115"/>
      <c r="F24" s="53"/>
      <c r="G24" s="115">
        <v>0</v>
      </c>
      <c r="H24" s="115">
        <v>0</v>
      </c>
      <c r="I24" s="53"/>
      <c r="J24" s="5"/>
    </row>
    <row r="25" spans="2:10" ht="39.950000000000003" customHeight="1" x14ac:dyDescent="0.25">
      <c r="B25" s="60">
        <v>6632</v>
      </c>
      <c r="C25" s="25" t="s">
        <v>205</v>
      </c>
      <c r="D25" s="115">
        <v>0</v>
      </c>
      <c r="E25" s="115"/>
      <c r="F25" s="53"/>
      <c r="G25" s="115">
        <v>0</v>
      </c>
      <c r="H25" s="115"/>
      <c r="I25" s="53"/>
      <c r="J25" s="5"/>
    </row>
    <row r="26" spans="2:10" ht="39.950000000000003" customHeight="1" x14ac:dyDescent="0.25">
      <c r="B26" s="121">
        <v>67</v>
      </c>
      <c r="C26" s="24" t="s">
        <v>39</v>
      </c>
      <c r="D26" s="114">
        <f>D27</f>
        <v>126257.24865618156</v>
      </c>
      <c r="E26" s="114">
        <v>330287</v>
      </c>
      <c r="F26" s="114">
        <v>330287</v>
      </c>
      <c r="G26" s="114">
        <f>G27</f>
        <v>151718.67000000001</v>
      </c>
      <c r="H26" s="114">
        <f>G26/D26*100</f>
        <v>120.16630460018492</v>
      </c>
      <c r="I26" s="114">
        <f t="shared" si="0"/>
        <v>45.935404663217142</v>
      </c>
      <c r="J26" s="5"/>
    </row>
    <row r="27" spans="2:10" ht="39.950000000000003" customHeight="1" x14ac:dyDescent="0.25">
      <c r="B27" s="121">
        <v>671</v>
      </c>
      <c r="C27" s="24" t="s">
        <v>40</v>
      </c>
      <c r="D27" s="114">
        <f>SUM(D28:D29)</f>
        <v>126257.24865618156</v>
      </c>
      <c r="E27" s="114"/>
      <c r="F27" s="114"/>
      <c r="G27" s="114">
        <f>SUM(G28:G29)</f>
        <v>151718.67000000001</v>
      </c>
      <c r="H27" s="114">
        <f>G27/D27*100</f>
        <v>120.16630460018492</v>
      </c>
      <c r="I27" s="114"/>
      <c r="J27" s="5"/>
    </row>
    <row r="28" spans="2:10" ht="39.950000000000003" customHeight="1" x14ac:dyDescent="0.25">
      <c r="B28" s="60">
        <v>6711</v>
      </c>
      <c r="C28" s="25" t="s">
        <v>41</v>
      </c>
      <c r="D28" s="115">
        <f>951285.24/7.5345</f>
        <v>126257.24865618156</v>
      </c>
      <c r="E28" s="115"/>
      <c r="F28" s="53"/>
      <c r="G28" s="115">
        <v>151718.67000000001</v>
      </c>
      <c r="H28" s="115">
        <f>G28/D28*100</f>
        <v>120.16630460018492</v>
      </c>
      <c r="I28" s="53"/>
      <c r="J28" s="5"/>
    </row>
    <row r="29" spans="2:10" ht="39.950000000000003" customHeight="1" x14ac:dyDescent="0.25">
      <c r="B29" s="60">
        <v>6712</v>
      </c>
      <c r="C29" s="25" t="s">
        <v>42</v>
      </c>
      <c r="D29" s="115">
        <v>0</v>
      </c>
      <c r="E29" s="115"/>
      <c r="F29" s="53"/>
      <c r="G29" s="115">
        <v>0</v>
      </c>
      <c r="H29" s="115">
        <v>0</v>
      </c>
      <c r="I29" s="53"/>
      <c r="J29" s="5"/>
    </row>
    <row r="30" spans="2:10" ht="39.950000000000003" customHeight="1" x14ac:dyDescent="0.25">
      <c r="B30" s="71"/>
      <c r="C30" s="27"/>
      <c r="D30" s="117"/>
      <c r="E30" s="117"/>
      <c r="F30" s="114"/>
      <c r="G30" s="117"/>
      <c r="H30" s="117"/>
      <c r="I30" s="114"/>
      <c r="J30" s="7"/>
    </row>
    <row r="31" spans="2:10" ht="39.950000000000003" customHeight="1" x14ac:dyDescent="0.25">
      <c r="B31" s="123">
        <v>6</v>
      </c>
      <c r="C31" s="28" t="s">
        <v>43</v>
      </c>
      <c r="D31" s="118">
        <f>D6</f>
        <v>277556.2744521866</v>
      </c>
      <c r="E31" s="118">
        <f>E26+E19+E11+E7+E16</f>
        <v>982230</v>
      </c>
      <c r="F31" s="118">
        <f>F6</f>
        <v>958471</v>
      </c>
      <c r="G31" s="118">
        <f>G6</f>
        <v>392877.18000000005</v>
      </c>
      <c r="H31" s="118">
        <f>G31/D31*100</f>
        <v>141.54865739404471</v>
      </c>
      <c r="I31" s="136">
        <f t="shared" si="0"/>
        <v>40.989991350807699</v>
      </c>
      <c r="J31" s="7"/>
    </row>
    <row r="32" spans="2:10" ht="39.950000000000003" customHeight="1" x14ac:dyDescent="0.25">
      <c r="B32" s="123">
        <v>9</v>
      </c>
      <c r="C32" s="29" t="s">
        <v>44</v>
      </c>
      <c r="D32" s="119">
        <f>3040556.11/7.5345</f>
        <v>403551.14606145059</v>
      </c>
      <c r="E32" s="119">
        <v>216339</v>
      </c>
      <c r="F32" s="119">
        <v>311475</v>
      </c>
      <c r="G32" s="119">
        <v>311475</v>
      </c>
      <c r="H32" s="119"/>
      <c r="I32" s="136"/>
      <c r="J32" s="7"/>
    </row>
    <row r="33" spans="2:10" ht="39.950000000000003" customHeight="1" x14ac:dyDescent="0.25">
      <c r="B33" s="122" t="s">
        <v>322</v>
      </c>
      <c r="C33" s="29" t="s">
        <v>45</v>
      </c>
      <c r="D33" s="118">
        <f>D32+D31</f>
        <v>681107.42051363713</v>
      </c>
      <c r="E33" s="118">
        <f>E31+E32</f>
        <v>1198569</v>
      </c>
      <c r="F33" s="118">
        <f>F31+F32</f>
        <v>1269946</v>
      </c>
      <c r="G33" s="118">
        <f>G32+G31</f>
        <v>704352.18</v>
      </c>
      <c r="H33" s="118">
        <f>G33/D33*100</f>
        <v>103.41278905298574</v>
      </c>
      <c r="I33" s="136">
        <f t="shared" si="0"/>
        <v>55.463159850891294</v>
      </c>
      <c r="J33" s="7"/>
    </row>
    <row r="34" spans="2:10" ht="16.5" thickBot="1" x14ac:dyDescent="0.3">
      <c r="B34" s="124"/>
      <c r="C34" s="30"/>
      <c r="D34" s="120"/>
      <c r="E34" s="120"/>
      <c r="F34" s="120"/>
      <c r="G34" s="120"/>
      <c r="H34" s="120"/>
      <c r="I34" s="136"/>
      <c r="J34" s="8"/>
    </row>
  </sheetData>
  <mergeCells count="1">
    <mergeCell ref="B2:J2"/>
  </mergeCells>
  <pageMargins left="0.7" right="0.7" top="0.75" bottom="0.75" header="0.3" footer="0.3"/>
  <pageSetup paperSize="9" scale="36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7"/>
  <sheetViews>
    <sheetView workbookViewId="0">
      <selection activeCell="B2" sqref="B2:J17"/>
    </sheetView>
  </sheetViews>
  <sheetFormatPr defaultRowHeight="15" x14ac:dyDescent="0.25"/>
  <cols>
    <col min="2" max="2" width="22.7109375" customWidth="1"/>
    <col min="3" max="3" width="52" customWidth="1"/>
    <col min="4" max="6" width="15.7109375" customWidth="1"/>
    <col min="7" max="7" width="16.85546875" customWidth="1"/>
    <col min="8" max="8" width="14.5703125" customWidth="1"/>
    <col min="9" max="9" width="15.7109375" customWidth="1"/>
    <col min="10" max="10" width="0.140625" customWidth="1"/>
  </cols>
  <sheetData>
    <row r="1" spans="2:10" ht="15.75" thickBot="1" x14ac:dyDescent="0.3"/>
    <row r="2" spans="2:10" ht="114" customHeight="1" x14ac:dyDescent="0.25">
      <c r="B2" s="183" t="s">
        <v>309</v>
      </c>
      <c r="C2" s="184"/>
      <c r="D2" s="184"/>
      <c r="E2" s="184"/>
      <c r="F2" s="184"/>
      <c r="G2" s="184"/>
      <c r="H2" s="184"/>
      <c r="I2" s="184"/>
      <c r="J2" s="185"/>
    </row>
    <row r="3" spans="2:10" x14ac:dyDescent="0.25">
      <c r="B3" s="14"/>
      <c r="C3" s="2"/>
      <c r="D3" s="2"/>
      <c r="E3" s="2"/>
      <c r="F3" s="2"/>
      <c r="G3" s="2"/>
      <c r="H3" s="2"/>
      <c r="I3" s="2"/>
      <c r="J3" s="5"/>
    </row>
    <row r="4" spans="2:10" ht="45" x14ac:dyDescent="0.25">
      <c r="B4" s="211" t="s">
        <v>336</v>
      </c>
      <c r="C4" s="212"/>
      <c r="D4" s="12" t="s">
        <v>206</v>
      </c>
      <c r="E4" s="12" t="s">
        <v>325</v>
      </c>
      <c r="F4" s="12" t="s">
        <v>328</v>
      </c>
      <c r="G4" s="12" t="s">
        <v>302</v>
      </c>
      <c r="H4" s="12" t="s">
        <v>310</v>
      </c>
      <c r="I4" s="9" t="s">
        <v>335</v>
      </c>
      <c r="J4" s="5"/>
    </row>
    <row r="5" spans="2:10" x14ac:dyDescent="0.25">
      <c r="B5" s="211">
        <v>1</v>
      </c>
      <c r="C5" s="212"/>
      <c r="D5" s="4">
        <v>2</v>
      </c>
      <c r="E5" s="4">
        <v>3</v>
      </c>
      <c r="F5" s="4">
        <v>4</v>
      </c>
      <c r="G5" s="4">
        <v>5</v>
      </c>
      <c r="H5" s="13">
        <v>6</v>
      </c>
      <c r="I5" s="4">
        <v>7</v>
      </c>
      <c r="J5" s="5"/>
    </row>
    <row r="6" spans="2:10" ht="30" customHeight="1" x14ac:dyDescent="0.25">
      <c r="B6" s="211"/>
      <c r="C6" s="212"/>
      <c r="D6" s="4"/>
      <c r="E6" s="4"/>
      <c r="F6" s="4"/>
      <c r="G6" s="4"/>
      <c r="H6" s="4" t="s">
        <v>345</v>
      </c>
      <c r="I6" s="4" t="s">
        <v>175</v>
      </c>
      <c r="J6" s="5"/>
    </row>
    <row r="7" spans="2:10" ht="30" customHeight="1" x14ac:dyDescent="0.25">
      <c r="B7" s="211" t="s">
        <v>337</v>
      </c>
      <c r="C7" s="212"/>
      <c r="D7" s="3">
        <f>951285.24/7.5345</f>
        <v>126257.24865618156</v>
      </c>
      <c r="E7" s="3">
        <v>330287</v>
      </c>
      <c r="F7" s="3">
        <v>330287</v>
      </c>
      <c r="G7" s="3">
        <v>151718.67000000001</v>
      </c>
      <c r="H7" s="3">
        <f>G7/D7*100</f>
        <v>120.16630460018492</v>
      </c>
      <c r="I7" s="3">
        <f>G7/F7*100</f>
        <v>45.935404663217142</v>
      </c>
      <c r="J7" s="5"/>
    </row>
    <row r="8" spans="2:10" ht="30" customHeight="1" x14ac:dyDescent="0.25">
      <c r="B8" s="211" t="s">
        <v>338</v>
      </c>
      <c r="C8" s="212"/>
      <c r="D8" s="3">
        <f>94224.52/7.5345</f>
        <v>12505.7429159201</v>
      </c>
      <c r="E8" s="3">
        <v>36113</v>
      </c>
      <c r="F8" s="3">
        <v>36113</v>
      </c>
      <c r="G8" s="3">
        <v>14171.6</v>
      </c>
      <c r="H8" s="3">
        <f t="shared" ref="H8:H13" si="0">G8/D8*100</f>
        <v>113.32073668297807</v>
      </c>
      <c r="I8" s="3">
        <f t="shared" ref="I8:I13" si="1">G8/F8*100</f>
        <v>39.242378090992162</v>
      </c>
      <c r="J8" s="5"/>
    </row>
    <row r="9" spans="2:10" ht="30" customHeight="1" x14ac:dyDescent="0.25">
      <c r="B9" s="211" t="s">
        <v>339</v>
      </c>
      <c r="C9" s="212"/>
      <c r="D9" s="3">
        <f>956440/7.5345</f>
        <v>126941.40288008493</v>
      </c>
      <c r="E9" s="3">
        <v>563008</v>
      </c>
      <c r="F9" s="3">
        <v>563008</v>
      </c>
      <c r="G9" s="3">
        <v>212711.13</v>
      </c>
      <c r="H9" s="3">
        <f t="shared" si="0"/>
        <v>167.56639297655894</v>
      </c>
      <c r="I9" s="3">
        <f t="shared" si="1"/>
        <v>37.781191386268048</v>
      </c>
      <c r="J9" s="5"/>
    </row>
    <row r="10" spans="2:10" ht="30" customHeight="1" x14ac:dyDescent="0.25">
      <c r="B10" s="215" t="s">
        <v>356</v>
      </c>
      <c r="C10" s="216"/>
      <c r="D10" s="3">
        <v>0</v>
      </c>
      <c r="E10" s="3">
        <v>14599</v>
      </c>
      <c r="F10" s="3">
        <v>1327</v>
      </c>
      <c r="G10" s="3">
        <v>1061.78</v>
      </c>
      <c r="H10" s="3" t="e">
        <f t="shared" si="0"/>
        <v>#DIV/0!</v>
      </c>
      <c r="I10" s="3">
        <f t="shared" si="1"/>
        <v>80.01356443104747</v>
      </c>
      <c r="J10" s="5"/>
    </row>
    <row r="11" spans="2:10" ht="30" customHeight="1" x14ac:dyDescent="0.25">
      <c r="B11" s="211" t="s">
        <v>340</v>
      </c>
      <c r="C11" s="212"/>
      <c r="D11" s="3">
        <f>89298/7.5345</f>
        <v>11851.881345809277</v>
      </c>
      <c r="E11" s="3">
        <v>36896</v>
      </c>
      <c r="F11" s="3">
        <v>26409</v>
      </c>
      <c r="G11" s="3">
        <v>13214</v>
      </c>
      <c r="H11" s="3">
        <f t="shared" si="0"/>
        <v>111.49284754417792</v>
      </c>
      <c r="I11" s="3">
        <f t="shared" si="1"/>
        <v>50.035972585103558</v>
      </c>
      <c r="J11" s="5"/>
    </row>
    <row r="12" spans="2:10" ht="30" customHeight="1" x14ac:dyDescent="0.25">
      <c r="B12" s="211" t="s">
        <v>341</v>
      </c>
      <c r="C12" s="212"/>
      <c r="D12" s="3">
        <v>0</v>
      </c>
      <c r="E12" s="3">
        <v>1327</v>
      </c>
      <c r="F12" s="3">
        <v>1327</v>
      </c>
      <c r="G12" s="3">
        <v>0</v>
      </c>
      <c r="H12" s="3" t="e">
        <f t="shared" si="0"/>
        <v>#DIV/0!</v>
      </c>
      <c r="I12" s="3">
        <f t="shared" si="1"/>
        <v>0</v>
      </c>
      <c r="J12" s="5"/>
    </row>
    <row r="13" spans="2:10" ht="30" customHeight="1" thickBot="1" x14ac:dyDescent="0.3">
      <c r="B13" s="207" t="s">
        <v>177</v>
      </c>
      <c r="C13" s="208"/>
      <c r="D13" s="151">
        <f>SUM(D7:D12)</f>
        <v>277556.27579799586</v>
      </c>
      <c r="E13" s="151">
        <f>SUM(E7:E12)</f>
        <v>982230</v>
      </c>
      <c r="F13" s="151">
        <f>SUM(F7:F12)</f>
        <v>958471</v>
      </c>
      <c r="G13" s="151">
        <f>SUM(G7:G12)</f>
        <v>392877.18000000005</v>
      </c>
      <c r="H13" s="151">
        <f t="shared" si="0"/>
        <v>141.54865670770644</v>
      </c>
      <c r="I13" s="151">
        <f t="shared" si="1"/>
        <v>40.989991350807699</v>
      </c>
      <c r="J13" s="5"/>
    </row>
    <row r="14" spans="2:10" ht="30" customHeight="1" thickTop="1" x14ac:dyDescent="0.25">
      <c r="B14" s="209" t="s">
        <v>342</v>
      </c>
      <c r="C14" s="210"/>
      <c r="D14" s="150">
        <f>5980.11/7.5345</f>
        <v>793.69699382838928</v>
      </c>
      <c r="E14" s="150"/>
      <c r="F14" s="150">
        <v>17877</v>
      </c>
      <c r="G14" s="150">
        <v>17877</v>
      </c>
      <c r="H14" s="150"/>
      <c r="I14" s="150"/>
      <c r="J14" s="5"/>
    </row>
    <row r="15" spans="2:10" ht="30" customHeight="1" x14ac:dyDescent="0.25">
      <c r="B15" s="211" t="s">
        <v>343</v>
      </c>
      <c r="C15" s="212"/>
      <c r="D15" s="3">
        <f>1398322.86/7.5345</f>
        <v>185589.33704957197</v>
      </c>
      <c r="E15" s="3">
        <v>216339</v>
      </c>
      <c r="F15" s="3">
        <v>288608</v>
      </c>
      <c r="G15" s="3">
        <v>288608</v>
      </c>
      <c r="H15" s="3"/>
      <c r="I15" s="3"/>
      <c r="J15" s="5"/>
    </row>
    <row r="16" spans="2:10" ht="30" customHeight="1" x14ac:dyDescent="0.25">
      <c r="B16" s="211" t="s">
        <v>344</v>
      </c>
      <c r="C16" s="212"/>
      <c r="D16" s="3">
        <f>1636253.14/7.5345</f>
        <v>217168.11201805028</v>
      </c>
      <c r="E16" s="3"/>
      <c r="F16" s="3">
        <v>4990</v>
      </c>
      <c r="G16" s="3">
        <v>4990</v>
      </c>
      <c r="H16" s="3"/>
      <c r="I16" s="3"/>
      <c r="J16" s="5"/>
    </row>
    <row r="17" spans="2:10" ht="30" customHeight="1" thickBot="1" x14ac:dyDescent="0.3">
      <c r="B17" s="213" t="s">
        <v>178</v>
      </c>
      <c r="C17" s="214"/>
      <c r="D17" s="10">
        <f>SUM(D13:D16)</f>
        <v>681107.42185944645</v>
      </c>
      <c r="E17" s="10">
        <f>E13+E15</f>
        <v>1198569</v>
      </c>
      <c r="F17" s="10">
        <f>F13+F14+F15+F16</f>
        <v>1269946</v>
      </c>
      <c r="G17" s="10">
        <f>SUM(G13:G16)</f>
        <v>704352.18</v>
      </c>
      <c r="H17" s="10">
        <f>G17/D17*100</f>
        <v>103.41278884865102</v>
      </c>
      <c r="I17" s="10">
        <f>G17/F17*100</f>
        <v>55.463159850891294</v>
      </c>
      <c r="J17" s="11"/>
    </row>
  </sheetData>
  <mergeCells count="15">
    <mergeCell ref="B2:J2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</mergeCells>
  <pageMargins left="0.7" right="0.7" top="0.75" bottom="0.75" header="0.3" footer="0.3"/>
  <pageSetup paperSize="9" scale="73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68"/>
  <sheetViews>
    <sheetView workbookViewId="0">
      <selection activeCell="B35" sqref="B35:R68"/>
    </sheetView>
  </sheetViews>
  <sheetFormatPr defaultRowHeight="15" x14ac:dyDescent="0.25"/>
  <cols>
    <col min="6" max="6" width="18.42578125" customWidth="1"/>
    <col min="7" max="7" width="18.28515625" customWidth="1"/>
    <col min="8" max="8" width="18.42578125" hidden="1" customWidth="1"/>
  </cols>
  <sheetData>
    <row r="1" spans="2:24" ht="15.75" thickBot="1" x14ac:dyDescent="0.3">
      <c r="G1" s="221"/>
      <c r="H1" s="221"/>
    </row>
    <row r="2" spans="2:24" ht="141" customHeight="1" x14ac:dyDescent="0.25">
      <c r="B2" s="230" t="s">
        <v>360</v>
      </c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2"/>
    </row>
    <row r="3" spans="2:24" ht="35.25" customHeight="1" x14ac:dyDescent="0.25">
      <c r="B3" s="111" t="s">
        <v>13</v>
      </c>
      <c r="C3" s="244" t="s">
        <v>0</v>
      </c>
      <c r="D3" s="245"/>
      <c r="E3" s="245"/>
      <c r="F3" s="112" t="s">
        <v>323</v>
      </c>
      <c r="G3" s="222" t="s">
        <v>325</v>
      </c>
      <c r="H3" s="223"/>
      <c r="I3" s="244" t="s">
        <v>324</v>
      </c>
      <c r="J3" s="245"/>
      <c r="K3" s="244" t="s">
        <v>302</v>
      </c>
      <c r="L3" s="245"/>
      <c r="M3" s="244" t="s">
        <v>346</v>
      </c>
      <c r="N3" s="245"/>
      <c r="O3" s="245"/>
      <c r="P3" s="244" t="s">
        <v>347</v>
      </c>
      <c r="Q3" s="245"/>
      <c r="R3" s="246"/>
      <c r="U3">
        <v>1</v>
      </c>
    </row>
    <row r="4" spans="2:24" ht="30" customHeight="1" x14ac:dyDescent="0.25">
      <c r="B4" s="34">
        <v>1</v>
      </c>
      <c r="C4" s="247">
        <v>2</v>
      </c>
      <c r="D4" s="248"/>
      <c r="E4" s="248"/>
      <c r="F4" s="33">
        <v>3</v>
      </c>
      <c r="G4" s="224">
        <v>4</v>
      </c>
      <c r="H4" s="225"/>
      <c r="I4" s="247">
        <v>5</v>
      </c>
      <c r="J4" s="248"/>
      <c r="K4" s="247">
        <v>6</v>
      </c>
      <c r="L4" s="248"/>
      <c r="M4" s="247">
        <v>7</v>
      </c>
      <c r="N4" s="248"/>
      <c r="O4" s="248"/>
      <c r="P4" s="247">
        <v>8</v>
      </c>
      <c r="Q4" s="248"/>
      <c r="R4" s="249"/>
    </row>
    <row r="5" spans="2:24" ht="30" customHeight="1" x14ac:dyDescent="0.25">
      <c r="B5" s="256" t="s">
        <v>86</v>
      </c>
      <c r="C5" s="257"/>
      <c r="D5" s="257"/>
      <c r="E5" s="258"/>
      <c r="F5" s="144">
        <f>F68</f>
        <v>579999.32999999996</v>
      </c>
      <c r="G5" s="226">
        <v>1198569</v>
      </c>
      <c r="H5" s="227"/>
      <c r="I5" s="250">
        <f>I6+I52</f>
        <v>1269946</v>
      </c>
      <c r="J5" s="251"/>
      <c r="K5" s="250">
        <f>K68</f>
        <v>364854.12000000005</v>
      </c>
      <c r="L5" s="251"/>
      <c r="M5" s="252">
        <f t="shared" ref="M5:M36" si="0">K5/F5*100</f>
        <v>62.905955425845072</v>
      </c>
      <c r="N5" s="253"/>
      <c r="O5" s="253"/>
      <c r="P5" s="252">
        <f>K5/I5*100</f>
        <v>28.729892452120016</v>
      </c>
      <c r="Q5" s="253"/>
      <c r="R5" s="254"/>
    </row>
    <row r="6" spans="2:24" ht="30" customHeight="1" x14ac:dyDescent="0.25">
      <c r="B6" s="35" t="s">
        <v>46</v>
      </c>
      <c r="C6" s="255" t="s">
        <v>47</v>
      </c>
      <c r="D6" s="234"/>
      <c r="E6" s="234"/>
      <c r="F6" s="32">
        <f>F7+F15+F47</f>
        <v>287111.20999999996</v>
      </c>
      <c r="G6" s="228">
        <v>711230</v>
      </c>
      <c r="H6" s="229"/>
      <c r="I6" s="237">
        <f>I7+I15+I47</f>
        <v>798359</v>
      </c>
      <c r="J6" s="236"/>
      <c r="K6" s="237">
        <f>K7+K15+K47</f>
        <v>326215.22000000003</v>
      </c>
      <c r="L6" s="236"/>
      <c r="M6" s="237">
        <f t="shared" si="0"/>
        <v>113.61981303342354</v>
      </c>
      <c r="N6" s="236"/>
      <c r="O6" s="236"/>
      <c r="P6" s="237">
        <f>K6/I6*100</f>
        <v>40.860718047895752</v>
      </c>
      <c r="Q6" s="236"/>
      <c r="R6" s="238"/>
    </row>
    <row r="7" spans="2:24" ht="30" customHeight="1" x14ac:dyDescent="0.25">
      <c r="B7" s="35" t="s">
        <v>48</v>
      </c>
      <c r="C7" s="255" t="s">
        <v>49</v>
      </c>
      <c r="D7" s="234"/>
      <c r="E7" s="234"/>
      <c r="F7" s="32">
        <f>F8+F11+F13</f>
        <v>140430.85999999999</v>
      </c>
      <c r="G7" s="228">
        <v>351991</v>
      </c>
      <c r="H7" s="229"/>
      <c r="I7" s="237">
        <v>368115</v>
      </c>
      <c r="J7" s="236"/>
      <c r="K7" s="237">
        <f>K8+K11+K13</f>
        <v>178681.17</v>
      </c>
      <c r="L7" s="236"/>
      <c r="M7" s="237">
        <f t="shared" si="0"/>
        <v>127.23782365215169</v>
      </c>
      <c r="N7" s="236"/>
      <c r="O7" s="236"/>
      <c r="P7" s="237">
        <f t="shared" ref="P7:P68" si="1">K7/I7*100</f>
        <v>48.539497168004573</v>
      </c>
      <c r="Q7" s="236"/>
      <c r="R7" s="238"/>
      <c r="X7">
        <v>1</v>
      </c>
    </row>
    <row r="8" spans="2:24" ht="30" customHeight="1" x14ac:dyDescent="0.25">
      <c r="B8" s="35" t="s">
        <v>50</v>
      </c>
      <c r="C8" s="255" t="s">
        <v>51</v>
      </c>
      <c r="D8" s="234"/>
      <c r="E8" s="234"/>
      <c r="F8" s="32">
        <f>F9+F10</f>
        <v>109820.02</v>
      </c>
      <c r="G8" s="228"/>
      <c r="H8" s="229"/>
      <c r="I8" s="237"/>
      <c r="J8" s="236"/>
      <c r="K8" s="237">
        <f>K9+K10</f>
        <v>136286.09</v>
      </c>
      <c r="L8" s="236"/>
      <c r="M8" s="237">
        <f t="shared" si="0"/>
        <v>124.09949479156896</v>
      </c>
      <c r="N8" s="236"/>
      <c r="O8" s="236"/>
      <c r="P8" s="237"/>
      <c r="Q8" s="236"/>
      <c r="R8" s="238"/>
    </row>
    <row r="9" spans="2:24" ht="30" customHeight="1" x14ac:dyDescent="0.25">
      <c r="B9" s="36" t="s">
        <v>91</v>
      </c>
      <c r="C9" s="233" t="s">
        <v>90</v>
      </c>
      <c r="D9" s="234"/>
      <c r="E9" s="234"/>
      <c r="F9" s="31">
        <v>108059.96</v>
      </c>
      <c r="G9" s="217"/>
      <c r="H9" s="218"/>
      <c r="I9" s="235"/>
      <c r="J9" s="236"/>
      <c r="K9" s="235">
        <v>133865.97</v>
      </c>
      <c r="L9" s="236"/>
      <c r="M9" s="237">
        <f t="shared" si="0"/>
        <v>123.88119521791418</v>
      </c>
      <c r="N9" s="236"/>
      <c r="O9" s="236"/>
      <c r="P9" s="237"/>
      <c r="Q9" s="236"/>
      <c r="R9" s="238"/>
    </row>
    <row r="10" spans="2:24" ht="30" customHeight="1" x14ac:dyDescent="0.25">
      <c r="B10" s="36" t="s">
        <v>92</v>
      </c>
      <c r="C10" s="233" t="s">
        <v>93</v>
      </c>
      <c r="D10" s="234"/>
      <c r="E10" s="234"/>
      <c r="F10" s="31">
        <v>1760.06</v>
      </c>
      <c r="G10" s="217"/>
      <c r="H10" s="218"/>
      <c r="I10" s="235"/>
      <c r="J10" s="236"/>
      <c r="K10" s="235">
        <v>2420.12</v>
      </c>
      <c r="L10" s="236"/>
      <c r="M10" s="237">
        <f t="shared" si="0"/>
        <v>137.50213060918378</v>
      </c>
      <c r="N10" s="236"/>
      <c r="O10" s="236"/>
      <c r="P10" s="237"/>
      <c r="Q10" s="236"/>
      <c r="R10" s="238"/>
    </row>
    <row r="11" spans="2:24" ht="30" customHeight="1" x14ac:dyDescent="0.25">
      <c r="B11" s="35" t="s">
        <v>52</v>
      </c>
      <c r="C11" s="255" t="s">
        <v>53</v>
      </c>
      <c r="D11" s="234"/>
      <c r="E11" s="234"/>
      <c r="F11" s="32">
        <f>F12</f>
        <v>12490.54</v>
      </c>
      <c r="G11" s="228"/>
      <c r="H11" s="229"/>
      <c r="I11" s="237"/>
      <c r="J11" s="236"/>
      <c r="K11" s="237">
        <f>K12</f>
        <v>19907.88</v>
      </c>
      <c r="L11" s="236"/>
      <c r="M11" s="237">
        <f t="shared" si="0"/>
        <v>159.38366155506486</v>
      </c>
      <c r="N11" s="236"/>
      <c r="O11" s="236"/>
      <c r="P11" s="237"/>
      <c r="Q11" s="236"/>
      <c r="R11" s="238"/>
    </row>
    <row r="12" spans="2:24" ht="30" customHeight="1" x14ac:dyDescent="0.25">
      <c r="B12" s="36" t="s">
        <v>94</v>
      </c>
      <c r="C12" s="233" t="s">
        <v>53</v>
      </c>
      <c r="D12" s="234"/>
      <c r="E12" s="234"/>
      <c r="F12" s="31">
        <v>12490.54</v>
      </c>
      <c r="G12" s="217"/>
      <c r="H12" s="218"/>
      <c r="I12" s="235"/>
      <c r="J12" s="236"/>
      <c r="K12" s="235">
        <v>19907.88</v>
      </c>
      <c r="L12" s="236"/>
      <c r="M12" s="237">
        <f t="shared" si="0"/>
        <v>159.38366155506486</v>
      </c>
      <c r="N12" s="236"/>
      <c r="O12" s="236"/>
      <c r="P12" s="237"/>
      <c r="Q12" s="236"/>
      <c r="R12" s="238"/>
    </row>
    <row r="13" spans="2:24" ht="30" customHeight="1" x14ac:dyDescent="0.25">
      <c r="B13" s="35" t="s">
        <v>54</v>
      </c>
      <c r="C13" s="255" t="s">
        <v>55</v>
      </c>
      <c r="D13" s="234"/>
      <c r="E13" s="234"/>
      <c r="F13" s="32">
        <f>F14</f>
        <v>18120.3</v>
      </c>
      <c r="G13" s="228"/>
      <c r="H13" s="229"/>
      <c r="I13" s="237"/>
      <c r="J13" s="236"/>
      <c r="K13" s="237">
        <f>K14</f>
        <v>22487.200000000001</v>
      </c>
      <c r="L13" s="236"/>
      <c r="M13" s="237">
        <f t="shared" si="0"/>
        <v>124.09949062653489</v>
      </c>
      <c r="N13" s="236"/>
      <c r="O13" s="236"/>
      <c r="P13" s="237"/>
      <c r="Q13" s="236"/>
      <c r="R13" s="238"/>
    </row>
    <row r="14" spans="2:24" ht="30" customHeight="1" x14ac:dyDescent="0.25">
      <c r="B14" s="36" t="s">
        <v>95</v>
      </c>
      <c r="C14" s="233" t="s">
        <v>96</v>
      </c>
      <c r="D14" s="234"/>
      <c r="E14" s="234"/>
      <c r="F14" s="31">
        <v>18120.3</v>
      </c>
      <c r="G14" s="217"/>
      <c r="H14" s="218"/>
      <c r="I14" s="235"/>
      <c r="J14" s="236"/>
      <c r="K14" s="235">
        <v>22487.200000000001</v>
      </c>
      <c r="L14" s="236"/>
      <c r="M14" s="237">
        <f t="shared" si="0"/>
        <v>124.09949062653489</v>
      </c>
      <c r="N14" s="236"/>
      <c r="O14" s="236"/>
      <c r="P14" s="237"/>
      <c r="Q14" s="236"/>
      <c r="R14" s="238"/>
    </row>
    <row r="15" spans="2:24" ht="30" customHeight="1" x14ac:dyDescent="0.25">
      <c r="B15" s="35" t="s">
        <v>56</v>
      </c>
      <c r="C15" s="255" t="s">
        <v>57</v>
      </c>
      <c r="D15" s="234"/>
      <c r="E15" s="234"/>
      <c r="F15" s="32">
        <f>F16+F21+F28+F38+F40</f>
        <v>145119.09</v>
      </c>
      <c r="G15" s="228">
        <v>349922</v>
      </c>
      <c r="H15" s="229"/>
      <c r="I15" s="237">
        <v>420927</v>
      </c>
      <c r="J15" s="236"/>
      <c r="K15" s="237">
        <f>K16+K21+K28+K38+K40</f>
        <v>144325.76999999999</v>
      </c>
      <c r="L15" s="236"/>
      <c r="M15" s="237">
        <f t="shared" si="0"/>
        <v>99.453331742915424</v>
      </c>
      <c r="N15" s="236"/>
      <c r="O15" s="236"/>
      <c r="P15" s="237">
        <f t="shared" si="1"/>
        <v>34.287600937929852</v>
      </c>
      <c r="Q15" s="236"/>
      <c r="R15" s="238"/>
    </row>
    <row r="16" spans="2:24" ht="30" customHeight="1" x14ac:dyDescent="0.25">
      <c r="B16" s="35" t="s">
        <v>58</v>
      </c>
      <c r="C16" s="255" t="s">
        <v>59</v>
      </c>
      <c r="D16" s="234"/>
      <c r="E16" s="234"/>
      <c r="F16" s="32">
        <f>SUM(F17:F20)</f>
        <v>2713.33</v>
      </c>
      <c r="G16" s="228"/>
      <c r="H16" s="229"/>
      <c r="I16" s="237"/>
      <c r="J16" s="236"/>
      <c r="K16" s="237">
        <f>SUM(K17:K20)</f>
        <v>5094.6099999999997</v>
      </c>
      <c r="L16" s="236"/>
      <c r="M16" s="237">
        <f t="shared" si="0"/>
        <v>187.76226997821863</v>
      </c>
      <c r="N16" s="236"/>
      <c r="O16" s="236"/>
      <c r="P16" s="237"/>
      <c r="Q16" s="236"/>
      <c r="R16" s="238"/>
    </row>
    <row r="17" spans="2:18" ht="30" customHeight="1" x14ac:dyDescent="0.25">
      <c r="B17" s="36" t="s">
        <v>97</v>
      </c>
      <c r="C17" s="233" t="s">
        <v>98</v>
      </c>
      <c r="D17" s="234"/>
      <c r="E17" s="234"/>
      <c r="F17" s="31">
        <v>538.59</v>
      </c>
      <c r="G17" s="217"/>
      <c r="H17" s="218"/>
      <c r="I17" s="235"/>
      <c r="J17" s="236"/>
      <c r="K17" s="235">
        <v>583.37</v>
      </c>
      <c r="L17" s="236"/>
      <c r="M17" s="237">
        <f t="shared" si="0"/>
        <v>108.31430215934199</v>
      </c>
      <c r="N17" s="236"/>
      <c r="O17" s="236"/>
      <c r="P17" s="237"/>
      <c r="Q17" s="236"/>
      <c r="R17" s="238"/>
    </row>
    <row r="18" spans="2:18" ht="30" customHeight="1" x14ac:dyDescent="0.25">
      <c r="B18" s="36" t="s">
        <v>99</v>
      </c>
      <c r="C18" s="233" t="s">
        <v>100</v>
      </c>
      <c r="D18" s="234"/>
      <c r="E18" s="234"/>
      <c r="F18" s="31">
        <v>2125.37</v>
      </c>
      <c r="G18" s="217"/>
      <c r="H18" s="218"/>
      <c r="I18" s="235"/>
      <c r="J18" s="236"/>
      <c r="K18" s="235">
        <v>3934.08</v>
      </c>
      <c r="L18" s="236"/>
      <c r="M18" s="237">
        <f t="shared" si="0"/>
        <v>185.10094712920576</v>
      </c>
      <c r="N18" s="236"/>
      <c r="O18" s="236"/>
      <c r="P18" s="237"/>
      <c r="Q18" s="236"/>
      <c r="R18" s="238"/>
    </row>
    <row r="19" spans="2:18" ht="30" customHeight="1" x14ac:dyDescent="0.25">
      <c r="B19" s="36" t="s">
        <v>101</v>
      </c>
      <c r="C19" s="233" t="s">
        <v>102</v>
      </c>
      <c r="D19" s="234"/>
      <c r="E19" s="234"/>
      <c r="F19" s="31">
        <v>0</v>
      </c>
      <c r="G19" s="217"/>
      <c r="H19" s="218"/>
      <c r="I19" s="235"/>
      <c r="J19" s="236"/>
      <c r="K19" s="235">
        <v>214.36</v>
      </c>
      <c r="L19" s="236"/>
      <c r="M19" s="237" t="e">
        <f t="shared" si="0"/>
        <v>#DIV/0!</v>
      </c>
      <c r="N19" s="236"/>
      <c r="O19" s="236"/>
      <c r="P19" s="237"/>
      <c r="Q19" s="236"/>
      <c r="R19" s="238"/>
    </row>
    <row r="20" spans="2:18" ht="32.1" customHeight="1" x14ac:dyDescent="0.25">
      <c r="B20" s="36" t="s">
        <v>103</v>
      </c>
      <c r="C20" s="233" t="s">
        <v>104</v>
      </c>
      <c r="D20" s="234"/>
      <c r="E20" s="234"/>
      <c r="F20" s="31">
        <v>49.37</v>
      </c>
      <c r="G20" s="217"/>
      <c r="H20" s="218"/>
      <c r="I20" s="235"/>
      <c r="J20" s="236"/>
      <c r="K20" s="235">
        <v>362.8</v>
      </c>
      <c r="L20" s="236"/>
      <c r="M20" s="237">
        <f t="shared" si="0"/>
        <v>734.85922625075966</v>
      </c>
      <c r="N20" s="236"/>
      <c r="O20" s="236"/>
      <c r="P20" s="237"/>
      <c r="Q20" s="236"/>
      <c r="R20" s="238"/>
    </row>
    <row r="21" spans="2:18" ht="30" customHeight="1" x14ac:dyDescent="0.25">
      <c r="B21" s="35" t="s">
        <v>60</v>
      </c>
      <c r="C21" s="255" t="s">
        <v>61</v>
      </c>
      <c r="D21" s="234"/>
      <c r="E21" s="234"/>
      <c r="F21" s="32">
        <f>SUM(F22:F27)</f>
        <v>29308.28</v>
      </c>
      <c r="G21" s="228"/>
      <c r="H21" s="229"/>
      <c r="I21" s="237"/>
      <c r="J21" s="236"/>
      <c r="K21" s="237">
        <f>SUM(K22:K27)</f>
        <v>22222.660000000003</v>
      </c>
      <c r="L21" s="236"/>
      <c r="M21" s="237">
        <f t="shared" si="0"/>
        <v>75.823828624538876</v>
      </c>
      <c r="N21" s="236"/>
      <c r="O21" s="236"/>
      <c r="P21" s="237"/>
      <c r="Q21" s="236"/>
      <c r="R21" s="238"/>
    </row>
    <row r="22" spans="2:18" ht="30" customHeight="1" x14ac:dyDescent="0.25">
      <c r="B22" s="36" t="s">
        <v>105</v>
      </c>
      <c r="C22" s="233" t="s">
        <v>106</v>
      </c>
      <c r="D22" s="234"/>
      <c r="E22" s="234"/>
      <c r="F22" s="31">
        <v>3924.23</v>
      </c>
      <c r="G22" s="217"/>
      <c r="H22" s="218"/>
      <c r="I22" s="235"/>
      <c r="J22" s="236"/>
      <c r="K22" s="235">
        <v>3764.53</v>
      </c>
      <c r="L22" s="236"/>
      <c r="M22" s="237">
        <f t="shared" si="0"/>
        <v>95.930411826014279</v>
      </c>
      <c r="N22" s="236"/>
      <c r="O22" s="236"/>
      <c r="P22" s="237"/>
      <c r="Q22" s="236"/>
      <c r="R22" s="238"/>
    </row>
    <row r="23" spans="2:18" ht="30" customHeight="1" x14ac:dyDescent="0.25">
      <c r="B23" s="36" t="s">
        <v>107</v>
      </c>
      <c r="C23" s="233" t="s">
        <v>108</v>
      </c>
      <c r="D23" s="234"/>
      <c r="E23" s="234"/>
      <c r="F23" s="31">
        <v>0</v>
      </c>
      <c r="G23" s="217"/>
      <c r="H23" s="218"/>
      <c r="I23" s="235"/>
      <c r="J23" s="236"/>
      <c r="K23" s="235">
        <v>3772.68</v>
      </c>
      <c r="L23" s="236"/>
      <c r="M23" s="237" t="e">
        <f t="shared" si="0"/>
        <v>#DIV/0!</v>
      </c>
      <c r="N23" s="236"/>
      <c r="O23" s="236"/>
      <c r="P23" s="237"/>
      <c r="Q23" s="236"/>
      <c r="R23" s="238"/>
    </row>
    <row r="24" spans="2:18" ht="30" customHeight="1" x14ac:dyDescent="0.25">
      <c r="B24" s="36" t="s">
        <v>109</v>
      </c>
      <c r="C24" s="233" t="s">
        <v>110</v>
      </c>
      <c r="D24" s="234"/>
      <c r="E24" s="234"/>
      <c r="F24" s="31">
        <v>10235.01</v>
      </c>
      <c r="G24" s="217"/>
      <c r="H24" s="218"/>
      <c r="I24" s="235"/>
      <c r="J24" s="236"/>
      <c r="K24" s="235">
        <v>11344.92</v>
      </c>
      <c r="L24" s="236"/>
      <c r="M24" s="237">
        <f t="shared" si="0"/>
        <v>110.84424929726498</v>
      </c>
      <c r="N24" s="236"/>
      <c r="O24" s="236"/>
      <c r="P24" s="237"/>
      <c r="Q24" s="236"/>
      <c r="R24" s="238"/>
    </row>
    <row r="25" spans="2:18" ht="30" customHeight="1" x14ac:dyDescent="0.25">
      <c r="B25" s="36" t="s">
        <v>111</v>
      </c>
      <c r="C25" s="233" t="s">
        <v>112</v>
      </c>
      <c r="D25" s="234"/>
      <c r="E25" s="234"/>
      <c r="F25" s="31">
        <v>2551.2800000000002</v>
      </c>
      <c r="G25" s="217"/>
      <c r="H25" s="218"/>
      <c r="I25" s="235"/>
      <c r="J25" s="236"/>
      <c r="K25" s="235">
        <v>1917.15</v>
      </c>
      <c r="L25" s="236"/>
      <c r="M25" s="237">
        <f t="shared" si="0"/>
        <v>75.144633282117212</v>
      </c>
      <c r="N25" s="236"/>
      <c r="O25" s="236"/>
      <c r="P25" s="237"/>
      <c r="Q25" s="236"/>
      <c r="R25" s="238"/>
    </row>
    <row r="26" spans="2:18" ht="30" customHeight="1" x14ac:dyDescent="0.25">
      <c r="B26" s="36" t="s">
        <v>113</v>
      </c>
      <c r="C26" s="233" t="s">
        <v>114</v>
      </c>
      <c r="D26" s="234"/>
      <c r="E26" s="234"/>
      <c r="F26" s="31">
        <v>12005.48</v>
      </c>
      <c r="G26" s="217"/>
      <c r="H26" s="218"/>
      <c r="I26" s="235"/>
      <c r="J26" s="236"/>
      <c r="K26" s="235">
        <v>1336.89</v>
      </c>
      <c r="L26" s="236"/>
      <c r="M26" s="237">
        <f t="shared" si="0"/>
        <v>11.135664713114346</v>
      </c>
      <c r="N26" s="236"/>
      <c r="O26" s="236"/>
      <c r="P26" s="237"/>
      <c r="Q26" s="236"/>
      <c r="R26" s="238"/>
    </row>
    <row r="27" spans="2:18" ht="30" customHeight="1" x14ac:dyDescent="0.25">
      <c r="B27" s="36" t="s">
        <v>115</v>
      </c>
      <c r="C27" s="233" t="s">
        <v>116</v>
      </c>
      <c r="D27" s="234"/>
      <c r="E27" s="234"/>
      <c r="F27" s="31">
        <v>592.28</v>
      </c>
      <c r="G27" s="217"/>
      <c r="H27" s="218"/>
      <c r="I27" s="235"/>
      <c r="J27" s="236"/>
      <c r="K27" s="235">
        <v>86.49</v>
      </c>
      <c r="L27" s="236"/>
      <c r="M27" s="237">
        <f t="shared" si="0"/>
        <v>14.602890524751807</v>
      </c>
      <c r="N27" s="236"/>
      <c r="O27" s="236"/>
      <c r="P27" s="237"/>
      <c r="Q27" s="236"/>
      <c r="R27" s="238"/>
    </row>
    <row r="28" spans="2:18" ht="30" customHeight="1" x14ac:dyDescent="0.25">
      <c r="B28" s="35" t="s">
        <v>62</v>
      </c>
      <c r="C28" s="255" t="s">
        <v>63</v>
      </c>
      <c r="D28" s="234"/>
      <c r="E28" s="234"/>
      <c r="F28" s="32">
        <f>SUM(F29:F37)</f>
        <v>108275.51999999999</v>
      </c>
      <c r="G28" s="228"/>
      <c r="H28" s="229"/>
      <c r="I28" s="237"/>
      <c r="J28" s="236"/>
      <c r="K28" s="237">
        <f>SUM(K29:K37)</f>
        <v>109069.79999999999</v>
      </c>
      <c r="L28" s="236"/>
      <c r="M28" s="237">
        <f t="shared" si="0"/>
        <v>100.73357301816699</v>
      </c>
      <c r="N28" s="236"/>
      <c r="O28" s="236"/>
      <c r="P28" s="237"/>
      <c r="Q28" s="236"/>
      <c r="R28" s="238"/>
    </row>
    <row r="29" spans="2:18" ht="30" customHeight="1" x14ac:dyDescent="0.25">
      <c r="B29" s="36" t="s">
        <v>117</v>
      </c>
      <c r="C29" s="233" t="s">
        <v>118</v>
      </c>
      <c r="D29" s="234"/>
      <c r="E29" s="234"/>
      <c r="F29" s="31">
        <v>3001.3</v>
      </c>
      <c r="G29" s="217"/>
      <c r="H29" s="218"/>
      <c r="I29" s="235"/>
      <c r="J29" s="236"/>
      <c r="K29" s="235">
        <v>3340.44</v>
      </c>
      <c r="L29" s="236"/>
      <c r="M29" s="237">
        <f t="shared" si="0"/>
        <v>111.29977009962349</v>
      </c>
      <c r="N29" s="236"/>
      <c r="O29" s="236"/>
      <c r="P29" s="237"/>
      <c r="Q29" s="236"/>
      <c r="R29" s="238"/>
    </row>
    <row r="30" spans="2:18" ht="30" customHeight="1" x14ac:dyDescent="0.25">
      <c r="B30" s="36" t="s">
        <v>119</v>
      </c>
      <c r="C30" s="233" t="s">
        <v>120</v>
      </c>
      <c r="D30" s="234"/>
      <c r="E30" s="234"/>
      <c r="F30" s="31">
        <v>24259.32</v>
      </c>
      <c r="G30" s="217"/>
      <c r="H30" s="218"/>
      <c r="I30" s="235"/>
      <c r="J30" s="236"/>
      <c r="K30" s="235">
        <v>8533.85</v>
      </c>
      <c r="L30" s="236"/>
      <c r="M30" s="237">
        <f t="shared" si="0"/>
        <v>35.177614211775108</v>
      </c>
      <c r="N30" s="236"/>
      <c r="O30" s="236"/>
      <c r="P30" s="237"/>
      <c r="Q30" s="236"/>
      <c r="R30" s="238"/>
    </row>
    <row r="31" spans="2:18" ht="30" customHeight="1" x14ac:dyDescent="0.25">
      <c r="B31" s="36" t="s">
        <v>121</v>
      </c>
      <c r="C31" s="233" t="s">
        <v>122</v>
      </c>
      <c r="D31" s="234"/>
      <c r="E31" s="234"/>
      <c r="F31" s="31">
        <v>1231.73</v>
      </c>
      <c r="G31" s="217"/>
      <c r="H31" s="218"/>
      <c r="I31" s="235"/>
      <c r="J31" s="236"/>
      <c r="K31" s="235">
        <v>1502.51</v>
      </c>
      <c r="L31" s="236"/>
      <c r="M31" s="237">
        <f t="shared" si="0"/>
        <v>121.9837139632874</v>
      </c>
      <c r="N31" s="236"/>
      <c r="O31" s="236"/>
      <c r="P31" s="237"/>
      <c r="Q31" s="236"/>
      <c r="R31" s="238"/>
    </row>
    <row r="32" spans="2:18" ht="30" customHeight="1" x14ac:dyDescent="0.25">
      <c r="B32" s="36" t="s">
        <v>123</v>
      </c>
      <c r="C32" s="233" t="s">
        <v>124</v>
      </c>
      <c r="D32" s="234"/>
      <c r="E32" s="234"/>
      <c r="F32" s="31">
        <v>2794.69</v>
      </c>
      <c r="G32" s="217"/>
      <c r="H32" s="218"/>
      <c r="I32" s="235"/>
      <c r="J32" s="236"/>
      <c r="K32" s="235">
        <v>3160.79</v>
      </c>
      <c r="L32" s="236"/>
      <c r="M32" s="237">
        <f t="shared" si="0"/>
        <v>113.09984291638786</v>
      </c>
      <c r="N32" s="236"/>
      <c r="O32" s="236"/>
      <c r="P32" s="237"/>
      <c r="Q32" s="236"/>
      <c r="R32" s="238"/>
    </row>
    <row r="33" spans="2:21" ht="30" customHeight="1" x14ac:dyDescent="0.25">
      <c r="B33" s="36" t="s">
        <v>125</v>
      </c>
      <c r="C33" s="233" t="s">
        <v>126</v>
      </c>
      <c r="D33" s="234"/>
      <c r="E33" s="234"/>
      <c r="F33" s="31">
        <v>5587.63</v>
      </c>
      <c r="G33" s="217"/>
      <c r="H33" s="218"/>
      <c r="I33" s="235"/>
      <c r="J33" s="236"/>
      <c r="K33" s="235">
        <v>3245.98</v>
      </c>
      <c r="L33" s="236"/>
      <c r="M33" s="237">
        <f t="shared" si="0"/>
        <v>58.09225020267985</v>
      </c>
      <c r="N33" s="236"/>
      <c r="O33" s="236"/>
      <c r="P33" s="237"/>
      <c r="Q33" s="236"/>
      <c r="R33" s="238"/>
    </row>
    <row r="34" spans="2:21" ht="30" customHeight="1" x14ac:dyDescent="0.25">
      <c r="B34" s="36" t="s">
        <v>127</v>
      </c>
      <c r="C34" s="233" t="s">
        <v>128</v>
      </c>
      <c r="D34" s="234"/>
      <c r="E34" s="234"/>
      <c r="F34" s="31">
        <v>59.73</v>
      </c>
      <c r="G34" s="217"/>
      <c r="H34" s="218"/>
      <c r="I34" s="235"/>
      <c r="J34" s="236"/>
      <c r="K34" s="235">
        <v>0</v>
      </c>
      <c r="L34" s="236"/>
      <c r="M34" s="237">
        <f t="shared" si="0"/>
        <v>0</v>
      </c>
      <c r="N34" s="236"/>
      <c r="O34" s="236"/>
      <c r="P34" s="237"/>
      <c r="Q34" s="236"/>
      <c r="R34" s="238"/>
    </row>
    <row r="35" spans="2:21" ht="30" customHeight="1" x14ac:dyDescent="0.25">
      <c r="B35" s="36" t="s">
        <v>129</v>
      </c>
      <c r="C35" s="233" t="s">
        <v>130</v>
      </c>
      <c r="D35" s="234"/>
      <c r="E35" s="234"/>
      <c r="F35" s="31">
        <v>38562.589999999997</v>
      </c>
      <c r="G35" s="217"/>
      <c r="H35" s="218"/>
      <c r="I35" s="235"/>
      <c r="J35" s="236"/>
      <c r="K35" s="235">
        <v>66933.67</v>
      </c>
      <c r="L35" s="236"/>
      <c r="M35" s="237">
        <f t="shared" si="0"/>
        <v>173.57151062726857</v>
      </c>
      <c r="N35" s="236"/>
      <c r="O35" s="236"/>
      <c r="P35" s="237"/>
      <c r="Q35" s="236"/>
      <c r="R35" s="238"/>
    </row>
    <row r="36" spans="2:21" ht="30" customHeight="1" x14ac:dyDescent="0.25">
      <c r="B36" s="36" t="s">
        <v>131</v>
      </c>
      <c r="C36" s="233" t="s">
        <v>132</v>
      </c>
      <c r="D36" s="234"/>
      <c r="E36" s="234"/>
      <c r="F36" s="31">
        <v>9059.0300000000007</v>
      </c>
      <c r="G36" s="217"/>
      <c r="H36" s="218"/>
      <c r="I36" s="235"/>
      <c r="J36" s="236"/>
      <c r="K36" s="235">
        <v>3305.37</v>
      </c>
      <c r="L36" s="236"/>
      <c r="M36" s="237">
        <f t="shared" si="0"/>
        <v>36.487019029631199</v>
      </c>
      <c r="N36" s="236"/>
      <c r="O36" s="236"/>
      <c r="P36" s="237"/>
      <c r="Q36" s="236"/>
      <c r="R36" s="238"/>
    </row>
    <row r="37" spans="2:21" ht="30" customHeight="1" x14ac:dyDescent="0.25">
      <c r="B37" s="36" t="s">
        <v>133</v>
      </c>
      <c r="C37" s="233" t="s">
        <v>134</v>
      </c>
      <c r="D37" s="234"/>
      <c r="E37" s="234"/>
      <c r="F37" s="31">
        <v>23719.5</v>
      </c>
      <c r="G37" s="217"/>
      <c r="H37" s="218"/>
      <c r="I37" s="235"/>
      <c r="J37" s="236"/>
      <c r="K37" s="235">
        <v>19047.189999999999</v>
      </c>
      <c r="L37" s="236"/>
      <c r="M37" s="237">
        <f t="shared" ref="M37:M68" si="2">K37/F37*100</f>
        <v>80.301819178313195</v>
      </c>
      <c r="N37" s="236"/>
      <c r="O37" s="236"/>
      <c r="P37" s="237"/>
      <c r="Q37" s="236"/>
      <c r="R37" s="238"/>
    </row>
    <row r="38" spans="2:21" ht="30" customHeight="1" x14ac:dyDescent="0.25">
      <c r="B38" s="35" t="s">
        <v>64</v>
      </c>
      <c r="C38" s="255" t="s">
        <v>65</v>
      </c>
      <c r="D38" s="234"/>
      <c r="E38" s="234"/>
      <c r="F38" s="32">
        <f>F39</f>
        <v>0</v>
      </c>
      <c r="G38" s="228"/>
      <c r="H38" s="229"/>
      <c r="I38" s="237"/>
      <c r="J38" s="236"/>
      <c r="K38" s="237">
        <f>K39</f>
        <v>1442.55</v>
      </c>
      <c r="L38" s="236"/>
      <c r="M38" s="237" t="e">
        <f t="shared" si="2"/>
        <v>#DIV/0!</v>
      </c>
      <c r="N38" s="236"/>
      <c r="O38" s="236"/>
      <c r="P38" s="237"/>
      <c r="Q38" s="236"/>
      <c r="R38" s="238"/>
    </row>
    <row r="39" spans="2:21" ht="30" customHeight="1" x14ac:dyDescent="0.25">
      <c r="B39" s="36" t="s">
        <v>135</v>
      </c>
      <c r="C39" s="233" t="s">
        <v>65</v>
      </c>
      <c r="D39" s="234"/>
      <c r="E39" s="234"/>
      <c r="F39" s="31">
        <v>0</v>
      </c>
      <c r="G39" s="217"/>
      <c r="H39" s="218"/>
      <c r="I39" s="235"/>
      <c r="J39" s="236"/>
      <c r="K39" s="235">
        <v>1442.55</v>
      </c>
      <c r="L39" s="236"/>
      <c r="M39" s="237" t="e">
        <f t="shared" si="2"/>
        <v>#DIV/0!</v>
      </c>
      <c r="N39" s="236"/>
      <c r="O39" s="236"/>
      <c r="P39" s="237"/>
      <c r="Q39" s="236"/>
      <c r="R39" s="238"/>
    </row>
    <row r="40" spans="2:21" ht="30" customHeight="1" x14ac:dyDescent="0.25">
      <c r="B40" s="35" t="s">
        <v>66</v>
      </c>
      <c r="C40" s="255" t="s">
        <v>67</v>
      </c>
      <c r="D40" s="234"/>
      <c r="E40" s="234"/>
      <c r="F40" s="32">
        <f>SUM(F41:F46)</f>
        <v>4821.9600000000009</v>
      </c>
      <c r="G40" s="228"/>
      <c r="H40" s="229"/>
      <c r="I40" s="237"/>
      <c r="J40" s="236"/>
      <c r="K40" s="237">
        <f>SUM(K41:K46)</f>
        <v>6496.1500000000015</v>
      </c>
      <c r="L40" s="236"/>
      <c r="M40" s="237">
        <f t="shared" si="2"/>
        <v>134.72011381264051</v>
      </c>
      <c r="N40" s="236"/>
      <c r="O40" s="236"/>
      <c r="P40" s="237"/>
      <c r="Q40" s="236"/>
      <c r="R40" s="238"/>
      <c r="U40">
        <v>1</v>
      </c>
    </row>
    <row r="41" spans="2:21" ht="34.5" customHeight="1" x14ac:dyDescent="0.25">
      <c r="B41" s="36" t="s">
        <v>136</v>
      </c>
      <c r="C41" s="233" t="s">
        <v>137</v>
      </c>
      <c r="D41" s="234"/>
      <c r="E41" s="234"/>
      <c r="F41" s="31">
        <v>686.01</v>
      </c>
      <c r="G41" s="217"/>
      <c r="H41" s="218"/>
      <c r="I41" s="235"/>
      <c r="J41" s="236"/>
      <c r="K41" s="235">
        <v>845.74</v>
      </c>
      <c r="L41" s="236"/>
      <c r="M41" s="237">
        <f t="shared" si="2"/>
        <v>123.28391714406494</v>
      </c>
      <c r="N41" s="236"/>
      <c r="O41" s="236"/>
      <c r="P41" s="237"/>
      <c r="Q41" s="236"/>
      <c r="R41" s="238"/>
    </row>
    <row r="42" spans="2:21" ht="30" customHeight="1" x14ac:dyDescent="0.25">
      <c r="B42" s="36" t="s">
        <v>138</v>
      </c>
      <c r="C42" s="233" t="s">
        <v>139</v>
      </c>
      <c r="D42" s="234"/>
      <c r="E42" s="234"/>
      <c r="F42" s="31">
        <v>2273.67</v>
      </c>
      <c r="G42" s="217"/>
      <c r="H42" s="218"/>
      <c r="I42" s="235"/>
      <c r="J42" s="236"/>
      <c r="K42" s="235">
        <v>3369.36</v>
      </c>
      <c r="L42" s="236"/>
      <c r="M42" s="237">
        <f t="shared" si="2"/>
        <v>148.19037063426092</v>
      </c>
      <c r="N42" s="236"/>
      <c r="O42" s="236"/>
      <c r="P42" s="237"/>
      <c r="Q42" s="236"/>
      <c r="R42" s="238"/>
    </row>
    <row r="43" spans="2:21" ht="30" customHeight="1" x14ac:dyDescent="0.25">
      <c r="B43" s="36" t="s">
        <v>140</v>
      </c>
      <c r="C43" s="233" t="s">
        <v>141</v>
      </c>
      <c r="D43" s="234"/>
      <c r="E43" s="234"/>
      <c r="F43" s="31">
        <v>1154.21</v>
      </c>
      <c r="G43" s="217"/>
      <c r="H43" s="218"/>
      <c r="I43" s="235"/>
      <c r="J43" s="236"/>
      <c r="K43" s="235">
        <v>1355.02</v>
      </c>
      <c r="L43" s="236"/>
      <c r="M43" s="237">
        <f t="shared" si="2"/>
        <v>117.39804714913231</v>
      </c>
      <c r="N43" s="236"/>
      <c r="O43" s="236"/>
      <c r="P43" s="237"/>
      <c r="Q43" s="236"/>
      <c r="R43" s="238"/>
    </row>
    <row r="44" spans="2:21" ht="30" customHeight="1" x14ac:dyDescent="0.25">
      <c r="B44" s="36" t="s">
        <v>142</v>
      </c>
      <c r="C44" s="233" t="s">
        <v>143</v>
      </c>
      <c r="D44" s="234"/>
      <c r="E44" s="234"/>
      <c r="F44" s="31">
        <v>497.71</v>
      </c>
      <c r="G44" s="217"/>
      <c r="H44" s="218"/>
      <c r="I44" s="235"/>
      <c r="J44" s="236"/>
      <c r="K44" s="235">
        <v>601</v>
      </c>
      <c r="L44" s="236"/>
      <c r="M44" s="237">
        <f t="shared" si="2"/>
        <v>120.75304896425629</v>
      </c>
      <c r="N44" s="236"/>
      <c r="O44" s="236"/>
      <c r="P44" s="237"/>
      <c r="Q44" s="236"/>
      <c r="R44" s="238"/>
    </row>
    <row r="45" spans="2:21" ht="30" customHeight="1" x14ac:dyDescent="0.25">
      <c r="B45" s="36" t="s">
        <v>144</v>
      </c>
      <c r="C45" s="233" t="s">
        <v>145</v>
      </c>
      <c r="D45" s="234"/>
      <c r="E45" s="234"/>
      <c r="F45" s="31">
        <v>50.43</v>
      </c>
      <c r="G45" s="217"/>
      <c r="H45" s="218"/>
      <c r="I45" s="235"/>
      <c r="J45" s="236"/>
      <c r="K45" s="235">
        <v>73.010000000000005</v>
      </c>
      <c r="L45" s="236"/>
      <c r="M45" s="237">
        <f t="shared" si="2"/>
        <v>144.77493555423359</v>
      </c>
      <c r="N45" s="236"/>
      <c r="O45" s="236"/>
      <c r="P45" s="237"/>
      <c r="Q45" s="236"/>
      <c r="R45" s="238"/>
    </row>
    <row r="46" spans="2:21" ht="30" customHeight="1" x14ac:dyDescent="0.25">
      <c r="B46" s="36" t="s">
        <v>146</v>
      </c>
      <c r="C46" s="233" t="s">
        <v>147</v>
      </c>
      <c r="D46" s="234"/>
      <c r="E46" s="234"/>
      <c r="F46" s="31">
        <v>159.93</v>
      </c>
      <c r="G46" s="217"/>
      <c r="H46" s="218"/>
      <c r="I46" s="235"/>
      <c r="J46" s="236"/>
      <c r="K46" s="235">
        <v>252.02</v>
      </c>
      <c r="L46" s="236"/>
      <c r="M46" s="237">
        <f t="shared" si="2"/>
        <v>157.58144188082287</v>
      </c>
      <c r="N46" s="236"/>
      <c r="O46" s="236"/>
      <c r="P46" s="237"/>
      <c r="Q46" s="236"/>
      <c r="R46" s="238"/>
    </row>
    <row r="47" spans="2:21" ht="30" customHeight="1" x14ac:dyDescent="0.25">
      <c r="B47" s="35" t="s">
        <v>68</v>
      </c>
      <c r="C47" s="255" t="s">
        <v>69</v>
      </c>
      <c r="D47" s="234"/>
      <c r="E47" s="234"/>
      <c r="F47" s="32">
        <f>F48</f>
        <v>1561.26</v>
      </c>
      <c r="G47" s="228">
        <v>9317</v>
      </c>
      <c r="H47" s="229"/>
      <c r="I47" s="237">
        <v>9317</v>
      </c>
      <c r="J47" s="236"/>
      <c r="K47" s="237">
        <f>K48</f>
        <v>3208.28</v>
      </c>
      <c r="L47" s="236"/>
      <c r="M47" s="237">
        <f t="shared" si="2"/>
        <v>205.49299924420018</v>
      </c>
      <c r="N47" s="236"/>
      <c r="O47" s="236"/>
      <c r="P47" s="237">
        <f t="shared" si="1"/>
        <v>34.434689277664489</v>
      </c>
      <c r="Q47" s="236"/>
      <c r="R47" s="238"/>
    </row>
    <row r="48" spans="2:21" ht="30" customHeight="1" x14ac:dyDescent="0.25">
      <c r="B48" s="35" t="s">
        <v>70</v>
      </c>
      <c r="C48" s="255" t="s">
        <v>71</v>
      </c>
      <c r="D48" s="234"/>
      <c r="E48" s="234"/>
      <c r="F48" s="32">
        <f>F49+F50+F51</f>
        <v>1561.26</v>
      </c>
      <c r="G48" s="228"/>
      <c r="H48" s="229"/>
      <c r="I48" s="237"/>
      <c r="J48" s="236"/>
      <c r="K48" s="237">
        <f>SUM(K49:K51)</f>
        <v>3208.28</v>
      </c>
      <c r="L48" s="236"/>
      <c r="M48" s="237">
        <f t="shared" si="2"/>
        <v>205.49299924420018</v>
      </c>
      <c r="N48" s="236"/>
      <c r="O48" s="236"/>
      <c r="P48" s="237"/>
      <c r="Q48" s="236"/>
      <c r="R48" s="238"/>
    </row>
    <row r="49" spans="2:18" ht="30" customHeight="1" x14ac:dyDescent="0.25">
      <c r="B49" s="36" t="s">
        <v>148</v>
      </c>
      <c r="C49" s="233" t="s">
        <v>149</v>
      </c>
      <c r="D49" s="234"/>
      <c r="E49" s="234"/>
      <c r="F49" s="31">
        <v>1555.39</v>
      </c>
      <c r="G49" s="217"/>
      <c r="H49" s="218"/>
      <c r="I49" s="235"/>
      <c r="J49" s="236"/>
      <c r="K49" s="235">
        <v>3208.28</v>
      </c>
      <c r="L49" s="236"/>
      <c r="M49" s="237">
        <f t="shared" si="2"/>
        <v>206.2685242929426</v>
      </c>
      <c r="N49" s="236"/>
      <c r="O49" s="236"/>
      <c r="P49" s="237"/>
      <c r="Q49" s="236"/>
      <c r="R49" s="238"/>
    </row>
    <row r="50" spans="2:18" ht="33" customHeight="1" x14ac:dyDescent="0.25">
      <c r="B50" s="36" t="s">
        <v>150</v>
      </c>
      <c r="C50" s="233" t="s">
        <v>151</v>
      </c>
      <c r="D50" s="234"/>
      <c r="E50" s="234"/>
      <c r="F50" s="31">
        <v>5.87</v>
      </c>
      <c r="G50" s="217"/>
      <c r="H50" s="218"/>
      <c r="I50" s="235"/>
      <c r="J50" s="236"/>
      <c r="K50" s="235">
        <v>0</v>
      </c>
      <c r="L50" s="236"/>
      <c r="M50" s="237">
        <f t="shared" si="2"/>
        <v>0</v>
      </c>
      <c r="N50" s="236"/>
      <c r="O50" s="236"/>
      <c r="P50" s="237"/>
      <c r="Q50" s="236"/>
      <c r="R50" s="238"/>
    </row>
    <row r="51" spans="2:18" ht="30" customHeight="1" x14ac:dyDescent="0.25">
      <c r="B51" s="36" t="s">
        <v>152</v>
      </c>
      <c r="C51" s="233" t="s">
        <v>153</v>
      </c>
      <c r="D51" s="234"/>
      <c r="E51" s="234"/>
      <c r="F51" s="31">
        <f t="shared" ref="F51" si="3">K51/7.5345</f>
        <v>0</v>
      </c>
      <c r="G51" s="217"/>
      <c r="H51" s="218"/>
      <c r="I51" s="235"/>
      <c r="J51" s="236"/>
      <c r="K51" s="235">
        <v>0</v>
      </c>
      <c r="L51" s="236"/>
      <c r="M51" s="237" t="e">
        <f t="shared" si="2"/>
        <v>#DIV/0!</v>
      </c>
      <c r="N51" s="236"/>
      <c r="O51" s="236"/>
      <c r="P51" s="237"/>
      <c r="Q51" s="236"/>
      <c r="R51" s="238"/>
    </row>
    <row r="52" spans="2:18" ht="30" customHeight="1" x14ac:dyDescent="0.25">
      <c r="B52" s="35" t="s">
        <v>72</v>
      </c>
      <c r="C52" s="255" t="s">
        <v>73</v>
      </c>
      <c r="D52" s="234"/>
      <c r="E52" s="234"/>
      <c r="F52" s="32">
        <f>F53+F56</f>
        <v>292888.12</v>
      </c>
      <c r="G52" s="228">
        <v>487339</v>
      </c>
      <c r="H52" s="229"/>
      <c r="I52" s="237">
        <f>I53+I56</f>
        <v>471587</v>
      </c>
      <c r="J52" s="236"/>
      <c r="K52" s="237">
        <f>K53+K56</f>
        <v>38638.9</v>
      </c>
      <c r="L52" s="236"/>
      <c r="M52" s="237">
        <f t="shared" si="2"/>
        <v>13.192375300165812</v>
      </c>
      <c r="N52" s="236"/>
      <c r="O52" s="236"/>
      <c r="P52" s="237">
        <f t="shared" si="1"/>
        <v>8.1933768318465106</v>
      </c>
      <c r="Q52" s="236"/>
      <c r="R52" s="238"/>
    </row>
    <row r="53" spans="2:18" ht="33.75" customHeight="1" x14ac:dyDescent="0.25">
      <c r="B53" s="35" t="s">
        <v>74</v>
      </c>
      <c r="C53" s="255" t="s">
        <v>75</v>
      </c>
      <c r="D53" s="234"/>
      <c r="E53" s="234"/>
      <c r="F53" s="32">
        <f>F54</f>
        <v>0</v>
      </c>
      <c r="G53" s="228">
        <v>378760</v>
      </c>
      <c r="H53" s="229"/>
      <c r="I53" s="237">
        <v>354151</v>
      </c>
      <c r="J53" s="236"/>
      <c r="K53" s="237">
        <f>K54</f>
        <v>6349.66</v>
      </c>
      <c r="L53" s="236"/>
      <c r="M53" s="237" t="e">
        <f t="shared" si="2"/>
        <v>#DIV/0!</v>
      </c>
      <c r="N53" s="236"/>
      <c r="O53" s="236"/>
      <c r="P53" s="237">
        <f t="shared" si="1"/>
        <v>1.792924487012602</v>
      </c>
      <c r="Q53" s="236"/>
      <c r="R53" s="238"/>
    </row>
    <row r="54" spans="2:18" ht="30" customHeight="1" x14ac:dyDescent="0.25">
      <c r="B54" s="35" t="s">
        <v>76</v>
      </c>
      <c r="C54" s="255" t="s">
        <v>77</v>
      </c>
      <c r="D54" s="234"/>
      <c r="E54" s="234"/>
      <c r="F54" s="32">
        <v>0</v>
      </c>
      <c r="G54" s="228"/>
      <c r="H54" s="229"/>
      <c r="I54" s="237"/>
      <c r="J54" s="236"/>
      <c r="K54" s="237">
        <f>K55</f>
        <v>6349.66</v>
      </c>
      <c r="L54" s="236"/>
      <c r="M54" s="237" t="e">
        <f t="shared" si="2"/>
        <v>#DIV/0!</v>
      </c>
      <c r="N54" s="236"/>
      <c r="O54" s="236"/>
      <c r="P54" s="237"/>
      <c r="Q54" s="236"/>
      <c r="R54" s="238"/>
    </row>
    <row r="55" spans="2:18" ht="30" customHeight="1" x14ac:dyDescent="0.25">
      <c r="B55" s="36" t="s">
        <v>154</v>
      </c>
      <c r="C55" s="233" t="s">
        <v>155</v>
      </c>
      <c r="D55" s="234"/>
      <c r="E55" s="234"/>
      <c r="F55" s="31">
        <v>0</v>
      </c>
      <c r="G55" s="217"/>
      <c r="H55" s="218"/>
      <c r="I55" s="235"/>
      <c r="J55" s="236"/>
      <c r="K55" s="235">
        <v>6349.66</v>
      </c>
      <c r="L55" s="236"/>
      <c r="M55" s="237" t="e">
        <f t="shared" si="2"/>
        <v>#DIV/0!</v>
      </c>
      <c r="N55" s="236"/>
      <c r="O55" s="236"/>
      <c r="P55" s="237"/>
      <c r="Q55" s="236"/>
      <c r="R55" s="238"/>
    </row>
    <row r="56" spans="2:18" ht="33" customHeight="1" x14ac:dyDescent="0.25">
      <c r="B56" s="35" t="s">
        <v>78</v>
      </c>
      <c r="C56" s="255" t="s">
        <v>79</v>
      </c>
      <c r="D56" s="234"/>
      <c r="E56" s="234"/>
      <c r="F56" s="32">
        <f>F57+F63+F66</f>
        <v>292888.12</v>
      </c>
      <c r="G56" s="228">
        <v>108579</v>
      </c>
      <c r="H56" s="229"/>
      <c r="I56" s="237">
        <v>117436</v>
      </c>
      <c r="J56" s="236"/>
      <c r="K56" s="237">
        <f>K57+K63+K66</f>
        <v>32289.24</v>
      </c>
      <c r="L56" s="236"/>
      <c r="M56" s="237">
        <f t="shared" si="2"/>
        <v>11.0244280307443</v>
      </c>
      <c r="N56" s="236"/>
      <c r="O56" s="236"/>
      <c r="P56" s="237">
        <f t="shared" si="1"/>
        <v>27.495180353554279</v>
      </c>
      <c r="Q56" s="236"/>
      <c r="R56" s="238"/>
    </row>
    <row r="57" spans="2:18" ht="30" customHeight="1" x14ac:dyDescent="0.25">
      <c r="B57" s="35" t="s">
        <v>80</v>
      </c>
      <c r="C57" s="255" t="s">
        <v>81</v>
      </c>
      <c r="D57" s="234"/>
      <c r="E57" s="234"/>
      <c r="F57" s="32">
        <f>SUM(F58:F62)</f>
        <v>144154</v>
      </c>
      <c r="G57" s="228"/>
      <c r="H57" s="229"/>
      <c r="I57" s="237"/>
      <c r="J57" s="236"/>
      <c r="K57" s="237">
        <f>SUM(K58:K62)</f>
        <v>5890.25</v>
      </c>
      <c r="L57" s="236"/>
      <c r="M57" s="237">
        <f t="shared" si="2"/>
        <v>4.086081551673904</v>
      </c>
      <c r="N57" s="236"/>
      <c r="O57" s="236"/>
      <c r="P57" s="237"/>
      <c r="Q57" s="236"/>
      <c r="R57" s="238"/>
    </row>
    <row r="58" spans="2:18" ht="30" customHeight="1" x14ac:dyDescent="0.25">
      <c r="B58" s="36" t="s">
        <v>156</v>
      </c>
      <c r="C58" s="233" t="s">
        <v>157</v>
      </c>
      <c r="D58" s="234"/>
      <c r="E58" s="234"/>
      <c r="F58" s="31">
        <v>92854.2</v>
      </c>
      <c r="G58" s="217"/>
      <c r="H58" s="218"/>
      <c r="I58" s="235"/>
      <c r="J58" s="236"/>
      <c r="K58" s="235">
        <v>3801.25</v>
      </c>
      <c r="L58" s="236"/>
      <c r="M58" s="237">
        <f t="shared" si="2"/>
        <v>4.09378358760293</v>
      </c>
      <c r="N58" s="236"/>
      <c r="O58" s="236"/>
      <c r="P58" s="237"/>
      <c r="Q58" s="236"/>
      <c r="R58" s="238"/>
    </row>
    <row r="59" spans="2:18" ht="30" customHeight="1" x14ac:dyDescent="0.25">
      <c r="B59" s="36" t="s">
        <v>158</v>
      </c>
      <c r="C59" s="233" t="s">
        <v>159</v>
      </c>
      <c r="D59" s="234"/>
      <c r="E59" s="234"/>
      <c r="F59" s="31">
        <v>20419.400000000001</v>
      </c>
      <c r="G59" s="217"/>
      <c r="H59" s="218"/>
      <c r="I59" s="235"/>
      <c r="J59" s="236"/>
      <c r="K59" s="235">
        <v>0</v>
      </c>
      <c r="L59" s="236"/>
      <c r="M59" s="237">
        <f t="shared" si="2"/>
        <v>0</v>
      </c>
      <c r="N59" s="236"/>
      <c r="O59" s="236"/>
      <c r="P59" s="237"/>
      <c r="Q59" s="236"/>
      <c r="R59" s="238"/>
    </row>
    <row r="60" spans="2:18" ht="30" customHeight="1" x14ac:dyDescent="0.25">
      <c r="B60" s="36" t="s">
        <v>160</v>
      </c>
      <c r="C60" s="233" t="s">
        <v>161</v>
      </c>
      <c r="D60" s="234"/>
      <c r="E60" s="234"/>
      <c r="F60" s="31">
        <v>504.21</v>
      </c>
      <c r="G60" s="217"/>
      <c r="H60" s="218"/>
      <c r="I60" s="235"/>
      <c r="J60" s="236"/>
      <c r="K60" s="235">
        <v>0</v>
      </c>
      <c r="L60" s="236"/>
      <c r="M60" s="237">
        <f t="shared" si="2"/>
        <v>0</v>
      </c>
      <c r="N60" s="236"/>
      <c r="O60" s="236"/>
      <c r="P60" s="237"/>
      <c r="Q60" s="236"/>
      <c r="R60" s="238"/>
    </row>
    <row r="61" spans="2:18" ht="30" customHeight="1" x14ac:dyDescent="0.25">
      <c r="B61" s="36" t="s">
        <v>162</v>
      </c>
      <c r="C61" s="233" t="s">
        <v>163</v>
      </c>
      <c r="D61" s="234"/>
      <c r="E61" s="234"/>
      <c r="F61" s="31">
        <v>0</v>
      </c>
      <c r="G61" s="217"/>
      <c r="H61" s="218"/>
      <c r="I61" s="235"/>
      <c r="J61" s="236"/>
      <c r="K61" s="235">
        <v>0</v>
      </c>
      <c r="L61" s="236"/>
      <c r="M61" s="237" t="e">
        <f t="shared" si="2"/>
        <v>#DIV/0!</v>
      </c>
      <c r="N61" s="236"/>
      <c r="O61" s="236"/>
      <c r="P61" s="237"/>
      <c r="Q61" s="236"/>
      <c r="R61" s="238"/>
    </row>
    <row r="62" spans="2:18" ht="30" customHeight="1" x14ac:dyDescent="0.25">
      <c r="B62" s="36" t="s">
        <v>164</v>
      </c>
      <c r="C62" s="233" t="s">
        <v>165</v>
      </c>
      <c r="D62" s="234"/>
      <c r="E62" s="234"/>
      <c r="F62" s="31">
        <v>30376.19</v>
      </c>
      <c r="G62" s="217"/>
      <c r="H62" s="218"/>
      <c r="I62" s="235"/>
      <c r="J62" s="236"/>
      <c r="K62" s="235">
        <v>2089</v>
      </c>
      <c r="L62" s="236"/>
      <c r="M62" s="237">
        <f t="shared" si="2"/>
        <v>6.8770968314327776</v>
      </c>
      <c r="N62" s="236"/>
      <c r="O62" s="236"/>
      <c r="P62" s="237"/>
      <c r="Q62" s="236"/>
      <c r="R62" s="238"/>
    </row>
    <row r="63" spans="2:18" ht="30" customHeight="1" x14ac:dyDescent="0.25">
      <c r="B63" s="35" t="s">
        <v>82</v>
      </c>
      <c r="C63" s="255" t="s">
        <v>83</v>
      </c>
      <c r="D63" s="234"/>
      <c r="E63" s="234"/>
      <c r="F63" s="32">
        <f>F64+F65</f>
        <v>18259.300000000003</v>
      </c>
      <c r="G63" s="228"/>
      <c r="H63" s="229"/>
      <c r="I63" s="237"/>
      <c r="J63" s="236"/>
      <c r="K63" s="237">
        <f>K64+K65</f>
        <v>26398.99</v>
      </c>
      <c r="L63" s="236"/>
      <c r="M63" s="237">
        <f t="shared" si="2"/>
        <v>144.57832447026993</v>
      </c>
      <c r="N63" s="236"/>
      <c r="O63" s="236"/>
      <c r="P63" s="237"/>
      <c r="Q63" s="236"/>
      <c r="R63" s="238"/>
    </row>
    <row r="64" spans="2:18" ht="30" customHeight="1" x14ac:dyDescent="0.25">
      <c r="B64" s="36" t="s">
        <v>166</v>
      </c>
      <c r="C64" s="233" t="s">
        <v>167</v>
      </c>
      <c r="D64" s="234"/>
      <c r="E64" s="234"/>
      <c r="F64" s="31">
        <v>63.97</v>
      </c>
      <c r="G64" s="217"/>
      <c r="H64" s="218"/>
      <c r="I64" s="235"/>
      <c r="J64" s="236"/>
      <c r="K64" s="235">
        <v>24.31</v>
      </c>
      <c r="L64" s="236"/>
      <c r="M64" s="237">
        <f t="shared" si="2"/>
        <v>38.002188525871503</v>
      </c>
      <c r="N64" s="236"/>
      <c r="O64" s="236"/>
      <c r="P64" s="237"/>
      <c r="Q64" s="236"/>
      <c r="R64" s="238"/>
    </row>
    <row r="65" spans="2:18" ht="30" customHeight="1" x14ac:dyDescent="0.25">
      <c r="B65" s="36" t="s">
        <v>168</v>
      </c>
      <c r="C65" s="233" t="s">
        <v>169</v>
      </c>
      <c r="D65" s="234"/>
      <c r="E65" s="234"/>
      <c r="F65" s="31">
        <v>18195.330000000002</v>
      </c>
      <c r="G65" s="217"/>
      <c r="H65" s="218"/>
      <c r="I65" s="235"/>
      <c r="J65" s="236"/>
      <c r="K65" s="235">
        <v>26374.68</v>
      </c>
      <c r="L65" s="236"/>
      <c r="M65" s="237">
        <f t="shared" si="2"/>
        <v>144.953018164551</v>
      </c>
      <c r="N65" s="236"/>
      <c r="O65" s="236"/>
      <c r="P65" s="237"/>
      <c r="Q65" s="236"/>
      <c r="R65" s="238"/>
    </row>
    <row r="66" spans="2:18" ht="30" customHeight="1" x14ac:dyDescent="0.25">
      <c r="B66" s="35" t="s">
        <v>84</v>
      </c>
      <c r="C66" s="255" t="s">
        <v>85</v>
      </c>
      <c r="D66" s="234"/>
      <c r="E66" s="234"/>
      <c r="F66" s="32">
        <f>F67</f>
        <v>130474.82</v>
      </c>
      <c r="G66" s="228"/>
      <c r="H66" s="229"/>
      <c r="I66" s="237"/>
      <c r="J66" s="236"/>
      <c r="K66" s="237">
        <f>K67</f>
        <v>0</v>
      </c>
      <c r="L66" s="236"/>
      <c r="M66" s="237">
        <f t="shared" si="2"/>
        <v>0</v>
      </c>
      <c r="N66" s="236"/>
      <c r="O66" s="236"/>
      <c r="P66" s="237"/>
      <c r="Q66" s="236"/>
      <c r="R66" s="238"/>
    </row>
    <row r="67" spans="2:18" ht="30" customHeight="1" x14ac:dyDescent="0.25">
      <c r="B67" s="36" t="s">
        <v>170</v>
      </c>
      <c r="C67" s="233" t="s">
        <v>171</v>
      </c>
      <c r="D67" s="234"/>
      <c r="E67" s="234"/>
      <c r="F67" s="31">
        <v>130474.82</v>
      </c>
      <c r="G67" s="217"/>
      <c r="H67" s="218"/>
      <c r="I67" s="235"/>
      <c r="J67" s="236"/>
      <c r="K67" s="235">
        <v>0</v>
      </c>
      <c r="L67" s="236"/>
      <c r="M67" s="237">
        <f t="shared" si="2"/>
        <v>0</v>
      </c>
      <c r="N67" s="236"/>
      <c r="O67" s="236"/>
      <c r="P67" s="237"/>
      <c r="Q67" s="236"/>
      <c r="R67" s="238"/>
    </row>
    <row r="68" spans="2:18" ht="30" customHeight="1" thickBot="1" x14ac:dyDescent="0.3">
      <c r="B68" s="239" t="s">
        <v>86</v>
      </c>
      <c r="C68" s="240"/>
      <c r="D68" s="240"/>
      <c r="E68" s="240"/>
      <c r="F68" s="37">
        <f>F6+F52</f>
        <v>579999.32999999996</v>
      </c>
      <c r="G68" s="219">
        <v>1198569</v>
      </c>
      <c r="H68" s="220"/>
      <c r="I68" s="241">
        <f>I6+I52</f>
        <v>1269946</v>
      </c>
      <c r="J68" s="242"/>
      <c r="K68" s="241">
        <f>K6+K52</f>
        <v>364854.12000000005</v>
      </c>
      <c r="L68" s="242"/>
      <c r="M68" s="241">
        <f t="shared" si="2"/>
        <v>62.905955425845072</v>
      </c>
      <c r="N68" s="242"/>
      <c r="O68" s="242"/>
      <c r="P68" s="241">
        <f t="shared" si="1"/>
        <v>28.729892452120016</v>
      </c>
      <c r="Q68" s="242"/>
      <c r="R68" s="243"/>
    </row>
  </sheetData>
  <mergeCells count="398">
    <mergeCell ref="C65:E65"/>
    <mergeCell ref="I65:J65"/>
    <mergeCell ref="K65:L65"/>
    <mergeCell ref="M65:O65"/>
    <mergeCell ref="P65:R65"/>
    <mergeCell ref="C66:E66"/>
    <mergeCell ref="I66:J66"/>
    <mergeCell ref="K66:L66"/>
    <mergeCell ref="M66:O66"/>
    <mergeCell ref="P66:R66"/>
    <mergeCell ref="G65:H65"/>
    <mergeCell ref="G66:H66"/>
    <mergeCell ref="C64:E64"/>
    <mergeCell ref="I64:J64"/>
    <mergeCell ref="K64:L64"/>
    <mergeCell ref="M64:O64"/>
    <mergeCell ref="P64:R64"/>
    <mergeCell ref="C61:E61"/>
    <mergeCell ref="I61:J61"/>
    <mergeCell ref="K61:L61"/>
    <mergeCell ref="M61:O61"/>
    <mergeCell ref="P61:R61"/>
    <mergeCell ref="C62:E62"/>
    <mergeCell ref="I62:J62"/>
    <mergeCell ref="K62:L62"/>
    <mergeCell ref="M62:O62"/>
    <mergeCell ref="P62:R62"/>
    <mergeCell ref="G61:H61"/>
    <mergeCell ref="G62:H62"/>
    <mergeCell ref="G63:H63"/>
    <mergeCell ref="G64:H64"/>
    <mergeCell ref="C63:E63"/>
    <mergeCell ref="I63:J63"/>
    <mergeCell ref="K63:L63"/>
    <mergeCell ref="C60:E60"/>
    <mergeCell ref="I60:J60"/>
    <mergeCell ref="K60:L60"/>
    <mergeCell ref="M60:O60"/>
    <mergeCell ref="P60:R60"/>
    <mergeCell ref="G59:H59"/>
    <mergeCell ref="G60:H60"/>
    <mergeCell ref="M63:O63"/>
    <mergeCell ref="P63:R63"/>
    <mergeCell ref="C58:E58"/>
    <mergeCell ref="I58:J58"/>
    <mergeCell ref="K58:L58"/>
    <mergeCell ref="M58:O58"/>
    <mergeCell ref="P58:R58"/>
    <mergeCell ref="G57:H57"/>
    <mergeCell ref="G58:H58"/>
    <mergeCell ref="C59:E59"/>
    <mergeCell ref="I59:J59"/>
    <mergeCell ref="K59:L59"/>
    <mergeCell ref="M59:O59"/>
    <mergeCell ref="P59:R59"/>
    <mergeCell ref="C56:E56"/>
    <mergeCell ref="I56:J56"/>
    <mergeCell ref="K56:L56"/>
    <mergeCell ref="M56:O56"/>
    <mergeCell ref="P56:R56"/>
    <mergeCell ref="G55:H55"/>
    <mergeCell ref="G56:H56"/>
    <mergeCell ref="C57:E57"/>
    <mergeCell ref="I57:J57"/>
    <mergeCell ref="K57:L57"/>
    <mergeCell ref="M57:O57"/>
    <mergeCell ref="P57:R57"/>
    <mergeCell ref="C54:E54"/>
    <mergeCell ref="I54:J54"/>
    <mergeCell ref="K54:L54"/>
    <mergeCell ref="M54:O54"/>
    <mergeCell ref="P54:R54"/>
    <mergeCell ref="G53:H53"/>
    <mergeCell ref="G54:H54"/>
    <mergeCell ref="C55:E55"/>
    <mergeCell ref="I55:J55"/>
    <mergeCell ref="K55:L55"/>
    <mergeCell ref="M55:O55"/>
    <mergeCell ref="P55:R55"/>
    <mergeCell ref="C52:E52"/>
    <mergeCell ref="I52:J52"/>
    <mergeCell ref="K52:L52"/>
    <mergeCell ref="M52:O52"/>
    <mergeCell ref="P52:R52"/>
    <mergeCell ref="G51:H51"/>
    <mergeCell ref="G52:H52"/>
    <mergeCell ref="C53:E53"/>
    <mergeCell ref="I53:J53"/>
    <mergeCell ref="K53:L53"/>
    <mergeCell ref="M53:O53"/>
    <mergeCell ref="P53:R53"/>
    <mergeCell ref="C50:E50"/>
    <mergeCell ref="I50:J50"/>
    <mergeCell ref="K50:L50"/>
    <mergeCell ref="M50:O50"/>
    <mergeCell ref="P50:R50"/>
    <mergeCell ref="G49:H49"/>
    <mergeCell ref="G50:H50"/>
    <mergeCell ref="C51:E51"/>
    <mergeCell ref="I51:J51"/>
    <mergeCell ref="K51:L51"/>
    <mergeCell ref="M51:O51"/>
    <mergeCell ref="P51:R51"/>
    <mergeCell ref="C48:E48"/>
    <mergeCell ref="I48:J48"/>
    <mergeCell ref="K48:L48"/>
    <mergeCell ref="M48:O48"/>
    <mergeCell ref="P48:R48"/>
    <mergeCell ref="G47:H47"/>
    <mergeCell ref="G48:H48"/>
    <mergeCell ref="C49:E49"/>
    <mergeCell ref="I49:J49"/>
    <mergeCell ref="K49:L49"/>
    <mergeCell ref="M49:O49"/>
    <mergeCell ref="P49:R49"/>
    <mergeCell ref="C46:E46"/>
    <mergeCell ref="I46:J46"/>
    <mergeCell ref="K46:L46"/>
    <mergeCell ref="M46:O46"/>
    <mergeCell ref="P46:R46"/>
    <mergeCell ref="G45:H45"/>
    <mergeCell ref="G46:H46"/>
    <mergeCell ref="C47:E47"/>
    <mergeCell ref="I47:J47"/>
    <mergeCell ref="K47:L47"/>
    <mergeCell ref="M47:O47"/>
    <mergeCell ref="P47:R47"/>
    <mergeCell ref="C44:E44"/>
    <mergeCell ref="I44:J44"/>
    <mergeCell ref="K44:L44"/>
    <mergeCell ref="M44:O44"/>
    <mergeCell ref="P44:R44"/>
    <mergeCell ref="G43:H43"/>
    <mergeCell ref="G44:H44"/>
    <mergeCell ref="C45:E45"/>
    <mergeCell ref="I45:J45"/>
    <mergeCell ref="K45:L45"/>
    <mergeCell ref="M45:O45"/>
    <mergeCell ref="P45:R45"/>
    <mergeCell ref="C42:E42"/>
    <mergeCell ref="I42:J42"/>
    <mergeCell ref="K42:L42"/>
    <mergeCell ref="M42:O42"/>
    <mergeCell ref="P42:R42"/>
    <mergeCell ref="G41:H41"/>
    <mergeCell ref="G42:H42"/>
    <mergeCell ref="C43:E43"/>
    <mergeCell ref="I43:J43"/>
    <mergeCell ref="K43:L43"/>
    <mergeCell ref="M43:O43"/>
    <mergeCell ref="P43:R43"/>
    <mergeCell ref="C40:E40"/>
    <mergeCell ref="I40:J40"/>
    <mergeCell ref="K40:L40"/>
    <mergeCell ref="M40:O40"/>
    <mergeCell ref="P40:R40"/>
    <mergeCell ref="G39:H39"/>
    <mergeCell ref="G40:H40"/>
    <mergeCell ref="C41:E41"/>
    <mergeCell ref="I41:J41"/>
    <mergeCell ref="K41:L41"/>
    <mergeCell ref="M41:O41"/>
    <mergeCell ref="P41:R41"/>
    <mergeCell ref="C38:E38"/>
    <mergeCell ref="I38:J38"/>
    <mergeCell ref="K38:L38"/>
    <mergeCell ref="M38:O38"/>
    <mergeCell ref="P38:R38"/>
    <mergeCell ref="G37:H37"/>
    <mergeCell ref="G38:H38"/>
    <mergeCell ref="C39:E39"/>
    <mergeCell ref="I39:J39"/>
    <mergeCell ref="K39:L39"/>
    <mergeCell ref="M39:O39"/>
    <mergeCell ref="P39:R39"/>
    <mergeCell ref="C36:E36"/>
    <mergeCell ref="I36:J36"/>
    <mergeCell ref="K36:L36"/>
    <mergeCell ref="M36:O36"/>
    <mergeCell ref="P36:R36"/>
    <mergeCell ref="G35:H35"/>
    <mergeCell ref="G36:H36"/>
    <mergeCell ref="C37:E37"/>
    <mergeCell ref="I37:J37"/>
    <mergeCell ref="K37:L37"/>
    <mergeCell ref="M37:O37"/>
    <mergeCell ref="P37:R37"/>
    <mergeCell ref="C34:E34"/>
    <mergeCell ref="I34:J34"/>
    <mergeCell ref="K34:L34"/>
    <mergeCell ref="M34:O34"/>
    <mergeCell ref="P34:R34"/>
    <mergeCell ref="G33:H33"/>
    <mergeCell ref="G34:H34"/>
    <mergeCell ref="C35:E35"/>
    <mergeCell ref="I35:J35"/>
    <mergeCell ref="K35:L35"/>
    <mergeCell ref="M35:O35"/>
    <mergeCell ref="P35:R35"/>
    <mergeCell ref="C32:E32"/>
    <mergeCell ref="I32:J32"/>
    <mergeCell ref="K32:L32"/>
    <mergeCell ref="M32:O32"/>
    <mergeCell ref="P32:R32"/>
    <mergeCell ref="G31:H31"/>
    <mergeCell ref="G32:H32"/>
    <mergeCell ref="C33:E33"/>
    <mergeCell ref="I33:J33"/>
    <mergeCell ref="K33:L33"/>
    <mergeCell ref="M33:O33"/>
    <mergeCell ref="P33:R33"/>
    <mergeCell ref="C30:E30"/>
    <mergeCell ref="I30:J30"/>
    <mergeCell ref="K30:L30"/>
    <mergeCell ref="M30:O30"/>
    <mergeCell ref="P30:R30"/>
    <mergeCell ref="G29:H29"/>
    <mergeCell ref="G30:H30"/>
    <mergeCell ref="C31:E31"/>
    <mergeCell ref="I31:J31"/>
    <mergeCell ref="K31:L31"/>
    <mergeCell ref="M31:O31"/>
    <mergeCell ref="P31:R31"/>
    <mergeCell ref="C28:E28"/>
    <mergeCell ref="I28:J28"/>
    <mergeCell ref="K28:L28"/>
    <mergeCell ref="M28:O28"/>
    <mergeCell ref="P28:R28"/>
    <mergeCell ref="G27:H27"/>
    <mergeCell ref="G28:H28"/>
    <mergeCell ref="C29:E29"/>
    <mergeCell ref="I29:J29"/>
    <mergeCell ref="K29:L29"/>
    <mergeCell ref="M29:O29"/>
    <mergeCell ref="P29:R29"/>
    <mergeCell ref="C26:E26"/>
    <mergeCell ref="I26:J26"/>
    <mergeCell ref="K26:L26"/>
    <mergeCell ref="M26:O26"/>
    <mergeCell ref="P26:R26"/>
    <mergeCell ref="G25:H25"/>
    <mergeCell ref="G26:H26"/>
    <mergeCell ref="C27:E27"/>
    <mergeCell ref="I27:J27"/>
    <mergeCell ref="K27:L27"/>
    <mergeCell ref="M27:O27"/>
    <mergeCell ref="P27:R27"/>
    <mergeCell ref="C24:E24"/>
    <mergeCell ref="I24:J24"/>
    <mergeCell ref="K24:L24"/>
    <mergeCell ref="M24:O24"/>
    <mergeCell ref="P24:R24"/>
    <mergeCell ref="G23:H23"/>
    <mergeCell ref="G24:H24"/>
    <mergeCell ref="C25:E25"/>
    <mergeCell ref="I25:J25"/>
    <mergeCell ref="K25:L25"/>
    <mergeCell ref="M25:O25"/>
    <mergeCell ref="P25:R25"/>
    <mergeCell ref="C22:E22"/>
    <mergeCell ref="I22:J22"/>
    <mergeCell ref="K22:L22"/>
    <mergeCell ref="M22:O22"/>
    <mergeCell ref="P22:R22"/>
    <mergeCell ref="G21:H21"/>
    <mergeCell ref="G22:H22"/>
    <mergeCell ref="C23:E23"/>
    <mergeCell ref="I23:J23"/>
    <mergeCell ref="K23:L23"/>
    <mergeCell ref="M23:O23"/>
    <mergeCell ref="P23:R23"/>
    <mergeCell ref="C20:E20"/>
    <mergeCell ref="I20:J20"/>
    <mergeCell ref="K20:L20"/>
    <mergeCell ref="M20:O20"/>
    <mergeCell ref="P20:R20"/>
    <mergeCell ref="G19:H19"/>
    <mergeCell ref="G20:H20"/>
    <mergeCell ref="C21:E21"/>
    <mergeCell ref="I21:J21"/>
    <mergeCell ref="K21:L21"/>
    <mergeCell ref="M21:O21"/>
    <mergeCell ref="P21:R21"/>
    <mergeCell ref="C18:E18"/>
    <mergeCell ref="I18:J18"/>
    <mergeCell ref="K18:L18"/>
    <mergeCell ref="M18:O18"/>
    <mergeCell ref="P18:R18"/>
    <mergeCell ref="G17:H17"/>
    <mergeCell ref="G18:H18"/>
    <mergeCell ref="C19:E19"/>
    <mergeCell ref="I19:J19"/>
    <mergeCell ref="K19:L19"/>
    <mergeCell ref="M19:O19"/>
    <mergeCell ref="P19:R19"/>
    <mergeCell ref="C16:E16"/>
    <mergeCell ref="I16:J16"/>
    <mergeCell ref="K16:L16"/>
    <mergeCell ref="M16:O16"/>
    <mergeCell ref="P16:R16"/>
    <mergeCell ref="G15:H15"/>
    <mergeCell ref="G16:H16"/>
    <mergeCell ref="C17:E17"/>
    <mergeCell ref="I17:J17"/>
    <mergeCell ref="K17:L17"/>
    <mergeCell ref="M17:O17"/>
    <mergeCell ref="P17:R17"/>
    <mergeCell ref="C14:E14"/>
    <mergeCell ref="I14:J14"/>
    <mergeCell ref="K14:L14"/>
    <mergeCell ref="M14:O14"/>
    <mergeCell ref="P14:R14"/>
    <mergeCell ref="G13:H13"/>
    <mergeCell ref="G14:H14"/>
    <mergeCell ref="C15:E15"/>
    <mergeCell ref="I15:J15"/>
    <mergeCell ref="K15:L15"/>
    <mergeCell ref="M15:O15"/>
    <mergeCell ref="P15:R15"/>
    <mergeCell ref="C12:E12"/>
    <mergeCell ref="I12:J12"/>
    <mergeCell ref="K12:L12"/>
    <mergeCell ref="M12:O12"/>
    <mergeCell ref="P12:R12"/>
    <mergeCell ref="G11:H11"/>
    <mergeCell ref="G12:H12"/>
    <mergeCell ref="C13:E13"/>
    <mergeCell ref="I13:J13"/>
    <mergeCell ref="K13:L13"/>
    <mergeCell ref="M13:O13"/>
    <mergeCell ref="P13:R13"/>
    <mergeCell ref="C10:E10"/>
    <mergeCell ref="I10:J10"/>
    <mergeCell ref="K10:L10"/>
    <mergeCell ref="M10:O10"/>
    <mergeCell ref="P10:R10"/>
    <mergeCell ref="C11:E11"/>
    <mergeCell ref="I11:J11"/>
    <mergeCell ref="K11:L11"/>
    <mergeCell ref="M11:O11"/>
    <mergeCell ref="P11:R11"/>
    <mergeCell ref="C8:E8"/>
    <mergeCell ref="I8:J8"/>
    <mergeCell ref="K8:L8"/>
    <mergeCell ref="M8:O8"/>
    <mergeCell ref="P8:R8"/>
    <mergeCell ref="C9:E9"/>
    <mergeCell ref="I9:J9"/>
    <mergeCell ref="K9:L9"/>
    <mergeCell ref="M9:O9"/>
    <mergeCell ref="P9:R9"/>
    <mergeCell ref="C6:E6"/>
    <mergeCell ref="I6:J6"/>
    <mergeCell ref="K6:L6"/>
    <mergeCell ref="M6:O6"/>
    <mergeCell ref="P6:R6"/>
    <mergeCell ref="B5:E5"/>
    <mergeCell ref="C7:E7"/>
    <mergeCell ref="I7:J7"/>
    <mergeCell ref="K7:L7"/>
    <mergeCell ref="M7:O7"/>
    <mergeCell ref="P7:R7"/>
    <mergeCell ref="K3:L3"/>
    <mergeCell ref="M3:O3"/>
    <mergeCell ref="P3:R3"/>
    <mergeCell ref="C4:E4"/>
    <mergeCell ref="I4:J4"/>
    <mergeCell ref="K4:L4"/>
    <mergeCell ref="M4:O4"/>
    <mergeCell ref="P4:R4"/>
    <mergeCell ref="I5:J5"/>
    <mergeCell ref="K5:L5"/>
    <mergeCell ref="M5:O5"/>
    <mergeCell ref="P5:R5"/>
    <mergeCell ref="G67:H67"/>
    <mergeCell ref="G68:H68"/>
    <mergeCell ref="G1:H1"/>
    <mergeCell ref="G3:H3"/>
    <mergeCell ref="G4:H4"/>
    <mergeCell ref="G5:H5"/>
    <mergeCell ref="G6:H6"/>
    <mergeCell ref="G7:H7"/>
    <mergeCell ref="G8:H8"/>
    <mergeCell ref="G9:H9"/>
    <mergeCell ref="G10:H10"/>
    <mergeCell ref="B2:R2"/>
    <mergeCell ref="C67:E67"/>
    <mergeCell ref="I67:J67"/>
    <mergeCell ref="K67:L67"/>
    <mergeCell ref="M67:O67"/>
    <mergeCell ref="P67:R67"/>
    <mergeCell ref="B68:E68"/>
    <mergeCell ref="I68:J68"/>
    <mergeCell ref="K68:L68"/>
    <mergeCell ref="M68:O68"/>
    <mergeCell ref="P68:R68"/>
    <mergeCell ref="C3:E3"/>
    <mergeCell ref="I3:J3"/>
  </mergeCells>
  <pageMargins left="0.7" right="0.7" top="0.75" bottom="0.75" header="0.3" footer="0.3"/>
  <pageSetup paperSize="9" scale="41" fitToHeight="0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7"/>
  <sheetViews>
    <sheetView workbookViewId="0">
      <selection activeCell="B2" sqref="B2:J16"/>
    </sheetView>
  </sheetViews>
  <sheetFormatPr defaultRowHeight="15" x14ac:dyDescent="0.25"/>
  <cols>
    <col min="2" max="2" width="15.7109375" customWidth="1"/>
    <col min="3" max="3" width="56.85546875" customWidth="1"/>
    <col min="4" max="9" width="15.7109375" customWidth="1"/>
    <col min="10" max="10" width="0.140625" customWidth="1"/>
    <col min="259" max="259" width="40.5703125" customWidth="1"/>
    <col min="260" max="260" width="20.28515625" customWidth="1"/>
    <col min="261" max="261" width="18" customWidth="1"/>
    <col min="262" max="262" width="22.85546875" customWidth="1"/>
    <col min="263" max="263" width="19.28515625" customWidth="1"/>
    <col min="264" max="264" width="24.7109375" customWidth="1"/>
    <col min="265" max="265" width="24.5703125" customWidth="1"/>
    <col min="515" max="515" width="40.5703125" customWidth="1"/>
    <col min="516" max="516" width="20.28515625" customWidth="1"/>
    <col min="517" max="517" width="18" customWidth="1"/>
    <col min="518" max="518" width="22.85546875" customWidth="1"/>
    <col min="519" max="519" width="19.28515625" customWidth="1"/>
    <col min="520" max="520" width="24.7109375" customWidth="1"/>
    <col min="521" max="521" width="24.5703125" customWidth="1"/>
    <col min="771" max="771" width="40.5703125" customWidth="1"/>
    <col min="772" max="772" width="20.28515625" customWidth="1"/>
    <col min="773" max="773" width="18" customWidth="1"/>
    <col min="774" max="774" width="22.85546875" customWidth="1"/>
    <col min="775" max="775" width="19.28515625" customWidth="1"/>
    <col min="776" max="776" width="24.7109375" customWidth="1"/>
    <col min="777" max="777" width="24.5703125" customWidth="1"/>
    <col min="1027" max="1027" width="40.5703125" customWidth="1"/>
    <col min="1028" max="1028" width="20.28515625" customWidth="1"/>
    <col min="1029" max="1029" width="18" customWidth="1"/>
    <col min="1030" max="1030" width="22.85546875" customWidth="1"/>
    <col min="1031" max="1031" width="19.28515625" customWidth="1"/>
    <col min="1032" max="1032" width="24.7109375" customWidth="1"/>
    <col min="1033" max="1033" width="24.5703125" customWidth="1"/>
    <col min="1283" max="1283" width="40.5703125" customWidth="1"/>
    <col min="1284" max="1284" width="20.28515625" customWidth="1"/>
    <col min="1285" max="1285" width="18" customWidth="1"/>
    <col min="1286" max="1286" width="22.85546875" customWidth="1"/>
    <col min="1287" max="1287" width="19.28515625" customWidth="1"/>
    <col min="1288" max="1288" width="24.7109375" customWidth="1"/>
    <col min="1289" max="1289" width="24.5703125" customWidth="1"/>
    <col min="1539" max="1539" width="40.5703125" customWidth="1"/>
    <col min="1540" max="1540" width="20.28515625" customWidth="1"/>
    <col min="1541" max="1541" width="18" customWidth="1"/>
    <col min="1542" max="1542" width="22.85546875" customWidth="1"/>
    <col min="1543" max="1543" width="19.28515625" customWidth="1"/>
    <col min="1544" max="1544" width="24.7109375" customWidth="1"/>
    <col min="1545" max="1545" width="24.5703125" customWidth="1"/>
    <col min="1795" max="1795" width="40.5703125" customWidth="1"/>
    <col min="1796" max="1796" width="20.28515625" customWidth="1"/>
    <col min="1797" max="1797" width="18" customWidth="1"/>
    <col min="1798" max="1798" width="22.85546875" customWidth="1"/>
    <col min="1799" max="1799" width="19.28515625" customWidth="1"/>
    <col min="1800" max="1800" width="24.7109375" customWidth="1"/>
    <col min="1801" max="1801" width="24.5703125" customWidth="1"/>
    <col min="2051" max="2051" width="40.5703125" customWidth="1"/>
    <col min="2052" max="2052" width="20.28515625" customWidth="1"/>
    <col min="2053" max="2053" width="18" customWidth="1"/>
    <col min="2054" max="2054" width="22.85546875" customWidth="1"/>
    <col min="2055" max="2055" width="19.28515625" customWidth="1"/>
    <col min="2056" max="2056" width="24.7109375" customWidth="1"/>
    <col min="2057" max="2057" width="24.5703125" customWidth="1"/>
    <col min="2307" max="2307" width="40.5703125" customWidth="1"/>
    <col min="2308" max="2308" width="20.28515625" customWidth="1"/>
    <col min="2309" max="2309" width="18" customWidth="1"/>
    <col min="2310" max="2310" width="22.85546875" customWidth="1"/>
    <col min="2311" max="2311" width="19.28515625" customWidth="1"/>
    <col min="2312" max="2312" width="24.7109375" customWidth="1"/>
    <col min="2313" max="2313" width="24.5703125" customWidth="1"/>
    <col min="2563" max="2563" width="40.5703125" customWidth="1"/>
    <col min="2564" max="2564" width="20.28515625" customWidth="1"/>
    <col min="2565" max="2565" width="18" customWidth="1"/>
    <col min="2566" max="2566" width="22.85546875" customWidth="1"/>
    <col min="2567" max="2567" width="19.28515625" customWidth="1"/>
    <col min="2568" max="2568" width="24.7109375" customWidth="1"/>
    <col min="2569" max="2569" width="24.5703125" customWidth="1"/>
    <col min="2819" max="2819" width="40.5703125" customWidth="1"/>
    <col min="2820" max="2820" width="20.28515625" customWidth="1"/>
    <col min="2821" max="2821" width="18" customWidth="1"/>
    <col min="2822" max="2822" width="22.85546875" customWidth="1"/>
    <col min="2823" max="2823" width="19.28515625" customWidth="1"/>
    <col min="2824" max="2824" width="24.7109375" customWidth="1"/>
    <col min="2825" max="2825" width="24.5703125" customWidth="1"/>
    <col min="3075" max="3075" width="40.5703125" customWidth="1"/>
    <col min="3076" max="3076" width="20.28515625" customWidth="1"/>
    <col min="3077" max="3077" width="18" customWidth="1"/>
    <col min="3078" max="3078" width="22.85546875" customWidth="1"/>
    <col min="3079" max="3079" width="19.28515625" customWidth="1"/>
    <col min="3080" max="3080" width="24.7109375" customWidth="1"/>
    <col min="3081" max="3081" width="24.5703125" customWidth="1"/>
    <col min="3331" max="3331" width="40.5703125" customWidth="1"/>
    <col min="3332" max="3332" width="20.28515625" customWidth="1"/>
    <col min="3333" max="3333" width="18" customWidth="1"/>
    <col min="3334" max="3334" width="22.85546875" customWidth="1"/>
    <col min="3335" max="3335" width="19.28515625" customWidth="1"/>
    <col min="3336" max="3336" width="24.7109375" customWidth="1"/>
    <col min="3337" max="3337" width="24.5703125" customWidth="1"/>
    <col min="3587" max="3587" width="40.5703125" customWidth="1"/>
    <col min="3588" max="3588" width="20.28515625" customWidth="1"/>
    <col min="3589" max="3589" width="18" customWidth="1"/>
    <col min="3590" max="3590" width="22.85546875" customWidth="1"/>
    <col min="3591" max="3591" width="19.28515625" customWidth="1"/>
    <col min="3592" max="3592" width="24.7109375" customWidth="1"/>
    <col min="3593" max="3593" width="24.5703125" customWidth="1"/>
    <col min="3843" max="3843" width="40.5703125" customWidth="1"/>
    <col min="3844" max="3844" width="20.28515625" customWidth="1"/>
    <col min="3845" max="3845" width="18" customWidth="1"/>
    <col min="3846" max="3846" width="22.85546875" customWidth="1"/>
    <col min="3847" max="3847" width="19.28515625" customWidth="1"/>
    <col min="3848" max="3848" width="24.7109375" customWidth="1"/>
    <col min="3849" max="3849" width="24.5703125" customWidth="1"/>
    <col min="4099" max="4099" width="40.5703125" customWidth="1"/>
    <col min="4100" max="4100" width="20.28515625" customWidth="1"/>
    <col min="4101" max="4101" width="18" customWidth="1"/>
    <col min="4102" max="4102" width="22.85546875" customWidth="1"/>
    <col min="4103" max="4103" width="19.28515625" customWidth="1"/>
    <col min="4104" max="4104" width="24.7109375" customWidth="1"/>
    <col min="4105" max="4105" width="24.5703125" customWidth="1"/>
    <col min="4355" max="4355" width="40.5703125" customWidth="1"/>
    <col min="4356" max="4356" width="20.28515625" customWidth="1"/>
    <col min="4357" max="4357" width="18" customWidth="1"/>
    <col min="4358" max="4358" width="22.85546875" customWidth="1"/>
    <col min="4359" max="4359" width="19.28515625" customWidth="1"/>
    <col min="4360" max="4360" width="24.7109375" customWidth="1"/>
    <col min="4361" max="4361" width="24.5703125" customWidth="1"/>
    <col min="4611" max="4611" width="40.5703125" customWidth="1"/>
    <col min="4612" max="4612" width="20.28515625" customWidth="1"/>
    <col min="4613" max="4613" width="18" customWidth="1"/>
    <col min="4614" max="4614" width="22.85546875" customWidth="1"/>
    <col min="4615" max="4615" width="19.28515625" customWidth="1"/>
    <col min="4616" max="4616" width="24.7109375" customWidth="1"/>
    <col min="4617" max="4617" width="24.5703125" customWidth="1"/>
    <col min="4867" max="4867" width="40.5703125" customWidth="1"/>
    <col min="4868" max="4868" width="20.28515625" customWidth="1"/>
    <col min="4869" max="4869" width="18" customWidth="1"/>
    <col min="4870" max="4870" width="22.85546875" customWidth="1"/>
    <col min="4871" max="4871" width="19.28515625" customWidth="1"/>
    <col min="4872" max="4872" width="24.7109375" customWidth="1"/>
    <col min="4873" max="4873" width="24.5703125" customWidth="1"/>
    <col min="5123" max="5123" width="40.5703125" customWidth="1"/>
    <col min="5124" max="5124" width="20.28515625" customWidth="1"/>
    <col min="5125" max="5125" width="18" customWidth="1"/>
    <col min="5126" max="5126" width="22.85546875" customWidth="1"/>
    <col min="5127" max="5127" width="19.28515625" customWidth="1"/>
    <col min="5128" max="5128" width="24.7109375" customWidth="1"/>
    <col min="5129" max="5129" width="24.5703125" customWidth="1"/>
    <col min="5379" max="5379" width="40.5703125" customWidth="1"/>
    <col min="5380" max="5380" width="20.28515625" customWidth="1"/>
    <col min="5381" max="5381" width="18" customWidth="1"/>
    <col min="5382" max="5382" width="22.85546875" customWidth="1"/>
    <col min="5383" max="5383" width="19.28515625" customWidth="1"/>
    <col min="5384" max="5384" width="24.7109375" customWidth="1"/>
    <col min="5385" max="5385" width="24.5703125" customWidth="1"/>
    <col min="5635" max="5635" width="40.5703125" customWidth="1"/>
    <col min="5636" max="5636" width="20.28515625" customWidth="1"/>
    <col min="5637" max="5637" width="18" customWidth="1"/>
    <col min="5638" max="5638" width="22.85546875" customWidth="1"/>
    <col min="5639" max="5639" width="19.28515625" customWidth="1"/>
    <col min="5640" max="5640" width="24.7109375" customWidth="1"/>
    <col min="5641" max="5641" width="24.5703125" customWidth="1"/>
    <col min="5891" max="5891" width="40.5703125" customWidth="1"/>
    <col min="5892" max="5892" width="20.28515625" customWidth="1"/>
    <col min="5893" max="5893" width="18" customWidth="1"/>
    <col min="5894" max="5894" width="22.85546875" customWidth="1"/>
    <col min="5895" max="5895" width="19.28515625" customWidth="1"/>
    <col min="5896" max="5896" width="24.7109375" customWidth="1"/>
    <col min="5897" max="5897" width="24.5703125" customWidth="1"/>
    <col min="6147" max="6147" width="40.5703125" customWidth="1"/>
    <col min="6148" max="6148" width="20.28515625" customWidth="1"/>
    <col min="6149" max="6149" width="18" customWidth="1"/>
    <col min="6150" max="6150" width="22.85546875" customWidth="1"/>
    <col min="6151" max="6151" width="19.28515625" customWidth="1"/>
    <col min="6152" max="6152" width="24.7109375" customWidth="1"/>
    <col min="6153" max="6153" width="24.5703125" customWidth="1"/>
    <col min="6403" max="6403" width="40.5703125" customWidth="1"/>
    <col min="6404" max="6404" width="20.28515625" customWidth="1"/>
    <col min="6405" max="6405" width="18" customWidth="1"/>
    <col min="6406" max="6406" width="22.85546875" customWidth="1"/>
    <col min="6407" max="6407" width="19.28515625" customWidth="1"/>
    <col min="6408" max="6408" width="24.7109375" customWidth="1"/>
    <col min="6409" max="6409" width="24.5703125" customWidth="1"/>
    <col min="6659" max="6659" width="40.5703125" customWidth="1"/>
    <col min="6660" max="6660" width="20.28515625" customWidth="1"/>
    <col min="6661" max="6661" width="18" customWidth="1"/>
    <col min="6662" max="6662" width="22.85546875" customWidth="1"/>
    <col min="6663" max="6663" width="19.28515625" customWidth="1"/>
    <col min="6664" max="6664" width="24.7109375" customWidth="1"/>
    <col min="6665" max="6665" width="24.5703125" customWidth="1"/>
    <col min="6915" max="6915" width="40.5703125" customWidth="1"/>
    <col min="6916" max="6916" width="20.28515625" customWidth="1"/>
    <col min="6917" max="6917" width="18" customWidth="1"/>
    <col min="6918" max="6918" width="22.85546875" customWidth="1"/>
    <col min="6919" max="6919" width="19.28515625" customWidth="1"/>
    <col min="6920" max="6920" width="24.7109375" customWidth="1"/>
    <col min="6921" max="6921" width="24.5703125" customWidth="1"/>
    <col min="7171" max="7171" width="40.5703125" customWidth="1"/>
    <col min="7172" max="7172" width="20.28515625" customWidth="1"/>
    <col min="7173" max="7173" width="18" customWidth="1"/>
    <col min="7174" max="7174" width="22.85546875" customWidth="1"/>
    <col min="7175" max="7175" width="19.28515625" customWidth="1"/>
    <col min="7176" max="7176" width="24.7109375" customWidth="1"/>
    <col min="7177" max="7177" width="24.5703125" customWidth="1"/>
    <col min="7427" max="7427" width="40.5703125" customWidth="1"/>
    <col min="7428" max="7428" width="20.28515625" customWidth="1"/>
    <col min="7429" max="7429" width="18" customWidth="1"/>
    <col min="7430" max="7430" width="22.85546875" customWidth="1"/>
    <col min="7431" max="7431" width="19.28515625" customWidth="1"/>
    <col min="7432" max="7432" width="24.7109375" customWidth="1"/>
    <col min="7433" max="7433" width="24.5703125" customWidth="1"/>
    <col min="7683" max="7683" width="40.5703125" customWidth="1"/>
    <col min="7684" max="7684" width="20.28515625" customWidth="1"/>
    <col min="7685" max="7685" width="18" customWidth="1"/>
    <col min="7686" max="7686" width="22.85546875" customWidth="1"/>
    <col min="7687" max="7687" width="19.28515625" customWidth="1"/>
    <col min="7688" max="7688" width="24.7109375" customWidth="1"/>
    <col min="7689" max="7689" width="24.5703125" customWidth="1"/>
    <col min="7939" max="7939" width="40.5703125" customWidth="1"/>
    <col min="7940" max="7940" width="20.28515625" customWidth="1"/>
    <col min="7941" max="7941" width="18" customWidth="1"/>
    <col min="7942" max="7942" width="22.85546875" customWidth="1"/>
    <col min="7943" max="7943" width="19.28515625" customWidth="1"/>
    <col min="7944" max="7944" width="24.7109375" customWidth="1"/>
    <col min="7945" max="7945" width="24.5703125" customWidth="1"/>
    <col min="8195" max="8195" width="40.5703125" customWidth="1"/>
    <col min="8196" max="8196" width="20.28515625" customWidth="1"/>
    <col min="8197" max="8197" width="18" customWidth="1"/>
    <col min="8198" max="8198" width="22.85546875" customWidth="1"/>
    <col min="8199" max="8199" width="19.28515625" customWidth="1"/>
    <col min="8200" max="8200" width="24.7109375" customWidth="1"/>
    <col min="8201" max="8201" width="24.5703125" customWidth="1"/>
    <col min="8451" max="8451" width="40.5703125" customWidth="1"/>
    <col min="8452" max="8452" width="20.28515625" customWidth="1"/>
    <col min="8453" max="8453" width="18" customWidth="1"/>
    <col min="8454" max="8454" width="22.85546875" customWidth="1"/>
    <col min="8455" max="8455" width="19.28515625" customWidth="1"/>
    <col min="8456" max="8456" width="24.7109375" customWidth="1"/>
    <col min="8457" max="8457" width="24.5703125" customWidth="1"/>
    <col min="8707" max="8707" width="40.5703125" customWidth="1"/>
    <col min="8708" max="8708" width="20.28515625" customWidth="1"/>
    <col min="8709" max="8709" width="18" customWidth="1"/>
    <col min="8710" max="8710" width="22.85546875" customWidth="1"/>
    <col min="8711" max="8711" width="19.28515625" customWidth="1"/>
    <col min="8712" max="8712" width="24.7109375" customWidth="1"/>
    <col min="8713" max="8713" width="24.5703125" customWidth="1"/>
    <col min="8963" max="8963" width="40.5703125" customWidth="1"/>
    <col min="8964" max="8964" width="20.28515625" customWidth="1"/>
    <col min="8965" max="8965" width="18" customWidth="1"/>
    <col min="8966" max="8966" width="22.85546875" customWidth="1"/>
    <col min="8967" max="8967" width="19.28515625" customWidth="1"/>
    <col min="8968" max="8968" width="24.7109375" customWidth="1"/>
    <col min="8969" max="8969" width="24.5703125" customWidth="1"/>
    <col min="9219" max="9219" width="40.5703125" customWidth="1"/>
    <col min="9220" max="9220" width="20.28515625" customWidth="1"/>
    <col min="9221" max="9221" width="18" customWidth="1"/>
    <col min="9222" max="9222" width="22.85546875" customWidth="1"/>
    <col min="9223" max="9223" width="19.28515625" customWidth="1"/>
    <col min="9224" max="9224" width="24.7109375" customWidth="1"/>
    <col min="9225" max="9225" width="24.5703125" customWidth="1"/>
    <col min="9475" max="9475" width="40.5703125" customWidth="1"/>
    <col min="9476" max="9476" width="20.28515625" customWidth="1"/>
    <col min="9477" max="9477" width="18" customWidth="1"/>
    <col min="9478" max="9478" width="22.85546875" customWidth="1"/>
    <col min="9479" max="9479" width="19.28515625" customWidth="1"/>
    <col min="9480" max="9480" width="24.7109375" customWidth="1"/>
    <col min="9481" max="9481" width="24.5703125" customWidth="1"/>
    <col min="9731" max="9731" width="40.5703125" customWidth="1"/>
    <col min="9732" max="9732" width="20.28515625" customWidth="1"/>
    <col min="9733" max="9733" width="18" customWidth="1"/>
    <col min="9734" max="9734" width="22.85546875" customWidth="1"/>
    <col min="9735" max="9735" width="19.28515625" customWidth="1"/>
    <col min="9736" max="9736" width="24.7109375" customWidth="1"/>
    <col min="9737" max="9737" width="24.5703125" customWidth="1"/>
    <col min="9987" max="9987" width="40.5703125" customWidth="1"/>
    <col min="9988" max="9988" width="20.28515625" customWidth="1"/>
    <col min="9989" max="9989" width="18" customWidth="1"/>
    <col min="9990" max="9990" width="22.85546875" customWidth="1"/>
    <col min="9991" max="9991" width="19.28515625" customWidth="1"/>
    <col min="9992" max="9992" width="24.7109375" customWidth="1"/>
    <col min="9993" max="9993" width="24.5703125" customWidth="1"/>
    <col min="10243" max="10243" width="40.5703125" customWidth="1"/>
    <col min="10244" max="10244" width="20.28515625" customWidth="1"/>
    <col min="10245" max="10245" width="18" customWidth="1"/>
    <col min="10246" max="10246" width="22.85546875" customWidth="1"/>
    <col min="10247" max="10247" width="19.28515625" customWidth="1"/>
    <col min="10248" max="10248" width="24.7109375" customWidth="1"/>
    <col min="10249" max="10249" width="24.5703125" customWidth="1"/>
    <col min="10499" max="10499" width="40.5703125" customWidth="1"/>
    <col min="10500" max="10500" width="20.28515625" customWidth="1"/>
    <col min="10501" max="10501" width="18" customWidth="1"/>
    <col min="10502" max="10502" width="22.85546875" customWidth="1"/>
    <col min="10503" max="10503" width="19.28515625" customWidth="1"/>
    <col min="10504" max="10504" width="24.7109375" customWidth="1"/>
    <col min="10505" max="10505" width="24.5703125" customWidth="1"/>
    <col min="10755" max="10755" width="40.5703125" customWidth="1"/>
    <col min="10756" max="10756" width="20.28515625" customWidth="1"/>
    <col min="10757" max="10757" width="18" customWidth="1"/>
    <col min="10758" max="10758" width="22.85546875" customWidth="1"/>
    <col min="10759" max="10759" width="19.28515625" customWidth="1"/>
    <col min="10760" max="10760" width="24.7109375" customWidth="1"/>
    <col min="10761" max="10761" width="24.5703125" customWidth="1"/>
    <col min="11011" max="11011" width="40.5703125" customWidth="1"/>
    <col min="11012" max="11012" width="20.28515625" customWidth="1"/>
    <col min="11013" max="11013" width="18" customWidth="1"/>
    <col min="11014" max="11014" width="22.85546875" customWidth="1"/>
    <col min="11015" max="11015" width="19.28515625" customWidth="1"/>
    <col min="11016" max="11016" width="24.7109375" customWidth="1"/>
    <col min="11017" max="11017" width="24.5703125" customWidth="1"/>
    <col min="11267" max="11267" width="40.5703125" customWidth="1"/>
    <col min="11268" max="11268" width="20.28515625" customWidth="1"/>
    <col min="11269" max="11269" width="18" customWidth="1"/>
    <col min="11270" max="11270" width="22.85546875" customWidth="1"/>
    <col min="11271" max="11271" width="19.28515625" customWidth="1"/>
    <col min="11272" max="11272" width="24.7109375" customWidth="1"/>
    <col min="11273" max="11273" width="24.5703125" customWidth="1"/>
    <col min="11523" max="11523" width="40.5703125" customWidth="1"/>
    <col min="11524" max="11524" width="20.28515625" customWidth="1"/>
    <col min="11525" max="11525" width="18" customWidth="1"/>
    <col min="11526" max="11526" width="22.85546875" customWidth="1"/>
    <col min="11527" max="11527" width="19.28515625" customWidth="1"/>
    <col min="11528" max="11528" width="24.7109375" customWidth="1"/>
    <col min="11529" max="11529" width="24.5703125" customWidth="1"/>
    <col min="11779" max="11779" width="40.5703125" customWidth="1"/>
    <col min="11780" max="11780" width="20.28515625" customWidth="1"/>
    <col min="11781" max="11781" width="18" customWidth="1"/>
    <col min="11782" max="11782" width="22.85546875" customWidth="1"/>
    <col min="11783" max="11783" width="19.28515625" customWidth="1"/>
    <col min="11784" max="11784" width="24.7109375" customWidth="1"/>
    <col min="11785" max="11785" width="24.5703125" customWidth="1"/>
    <col min="12035" max="12035" width="40.5703125" customWidth="1"/>
    <col min="12036" max="12036" width="20.28515625" customWidth="1"/>
    <col min="12037" max="12037" width="18" customWidth="1"/>
    <col min="12038" max="12038" width="22.85546875" customWidth="1"/>
    <col min="12039" max="12039" width="19.28515625" customWidth="1"/>
    <col min="12040" max="12040" width="24.7109375" customWidth="1"/>
    <col min="12041" max="12041" width="24.5703125" customWidth="1"/>
    <col min="12291" max="12291" width="40.5703125" customWidth="1"/>
    <col min="12292" max="12292" width="20.28515625" customWidth="1"/>
    <col min="12293" max="12293" width="18" customWidth="1"/>
    <col min="12294" max="12294" width="22.85546875" customWidth="1"/>
    <col min="12295" max="12295" width="19.28515625" customWidth="1"/>
    <col min="12296" max="12296" width="24.7109375" customWidth="1"/>
    <col min="12297" max="12297" width="24.5703125" customWidth="1"/>
    <col min="12547" max="12547" width="40.5703125" customWidth="1"/>
    <col min="12548" max="12548" width="20.28515625" customWidth="1"/>
    <col min="12549" max="12549" width="18" customWidth="1"/>
    <col min="12550" max="12550" width="22.85546875" customWidth="1"/>
    <col min="12551" max="12551" width="19.28515625" customWidth="1"/>
    <col min="12552" max="12552" width="24.7109375" customWidth="1"/>
    <col min="12553" max="12553" width="24.5703125" customWidth="1"/>
    <col min="12803" max="12803" width="40.5703125" customWidth="1"/>
    <col min="12804" max="12804" width="20.28515625" customWidth="1"/>
    <col min="12805" max="12805" width="18" customWidth="1"/>
    <col min="12806" max="12806" width="22.85546875" customWidth="1"/>
    <col min="12807" max="12807" width="19.28515625" customWidth="1"/>
    <col min="12808" max="12808" width="24.7109375" customWidth="1"/>
    <col min="12809" max="12809" width="24.5703125" customWidth="1"/>
    <col min="13059" max="13059" width="40.5703125" customWidth="1"/>
    <col min="13060" max="13060" width="20.28515625" customWidth="1"/>
    <col min="13061" max="13061" width="18" customWidth="1"/>
    <col min="13062" max="13062" width="22.85546875" customWidth="1"/>
    <col min="13063" max="13063" width="19.28515625" customWidth="1"/>
    <col min="13064" max="13064" width="24.7109375" customWidth="1"/>
    <col min="13065" max="13065" width="24.5703125" customWidth="1"/>
    <col min="13315" max="13315" width="40.5703125" customWidth="1"/>
    <col min="13316" max="13316" width="20.28515625" customWidth="1"/>
    <col min="13317" max="13317" width="18" customWidth="1"/>
    <col min="13318" max="13318" width="22.85546875" customWidth="1"/>
    <col min="13319" max="13319" width="19.28515625" customWidth="1"/>
    <col min="13320" max="13320" width="24.7109375" customWidth="1"/>
    <col min="13321" max="13321" width="24.5703125" customWidth="1"/>
    <col min="13571" max="13571" width="40.5703125" customWidth="1"/>
    <col min="13572" max="13572" width="20.28515625" customWidth="1"/>
    <col min="13573" max="13573" width="18" customWidth="1"/>
    <col min="13574" max="13574" width="22.85546875" customWidth="1"/>
    <col min="13575" max="13575" width="19.28515625" customWidth="1"/>
    <col min="13576" max="13576" width="24.7109375" customWidth="1"/>
    <col min="13577" max="13577" width="24.5703125" customWidth="1"/>
    <col min="13827" max="13827" width="40.5703125" customWidth="1"/>
    <col min="13828" max="13828" width="20.28515625" customWidth="1"/>
    <col min="13829" max="13829" width="18" customWidth="1"/>
    <col min="13830" max="13830" width="22.85546875" customWidth="1"/>
    <col min="13831" max="13831" width="19.28515625" customWidth="1"/>
    <col min="13832" max="13832" width="24.7109375" customWidth="1"/>
    <col min="13833" max="13833" width="24.5703125" customWidth="1"/>
    <col min="14083" max="14083" width="40.5703125" customWidth="1"/>
    <col min="14084" max="14084" width="20.28515625" customWidth="1"/>
    <col min="14085" max="14085" width="18" customWidth="1"/>
    <col min="14086" max="14086" width="22.85546875" customWidth="1"/>
    <col min="14087" max="14087" width="19.28515625" customWidth="1"/>
    <col min="14088" max="14088" width="24.7109375" customWidth="1"/>
    <col min="14089" max="14089" width="24.5703125" customWidth="1"/>
    <col min="14339" max="14339" width="40.5703125" customWidth="1"/>
    <col min="14340" max="14340" width="20.28515625" customWidth="1"/>
    <col min="14341" max="14341" width="18" customWidth="1"/>
    <col min="14342" max="14342" width="22.85546875" customWidth="1"/>
    <col min="14343" max="14343" width="19.28515625" customWidth="1"/>
    <col min="14344" max="14344" width="24.7109375" customWidth="1"/>
    <col min="14345" max="14345" width="24.5703125" customWidth="1"/>
    <col min="14595" max="14595" width="40.5703125" customWidth="1"/>
    <col min="14596" max="14596" width="20.28515625" customWidth="1"/>
    <col min="14597" max="14597" width="18" customWidth="1"/>
    <col min="14598" max="14598" width="22.85546875" customWidth="1"/>
    <col min="14599" max="14599" width="19.28515625" customWidth="1"/>
    <col min="14600" max="14600" width="24.7109375" customWidth="1"/>
    <col min="14601" max="14601" width="24.5703125" customWidth="1"/>
    <col min="14851" max="14851" width="40.5703125" customWidth="1"/>
    <col min="14852" max="14852" width="20.28515625" customWidth="1"/>
    <col min="14853" max="14853" width="18" customWidth="1"/>
    <col min="14854" max="14854" width="22.85546875" customWidth="1"/>
    <col min="14855" max="14855" width="19.28515625" customWidth="1"/>
    <col min="14856" max="14856" width="24.7109375" customWidth="1"/>
    <col min="14857" max="14857" width="24.5703125" customWidth="1"/>
    <col min="15107" max="15107" width="40.5703125" customWidth="1"/>
    <col min="15108" max="15108" width="20.28515625" customWidth="1"/>
    <col min="15109" max="15109" width="18" customWidth="1"/>
    <col min="15110" max="15110" width="22.85546875" customWidth="1"/>
    <col min="15111" max="15111" width="19.28515625" customWidth="1"/>
    <col min="15112" max="15112" width="24.7109375" customWidth="1"/>
    <col min="15113" max="15113" width="24.5703125" customWidth="1"/>
    <col min="15363" max="15363" width="40.5703125" customWidth="1"/>
    <col min="15364" max="15364" width="20.28515625" customWidth="1"/>
    <col min="15365" max="15365" width="18" customWidth="1"/>
    <col min="15366" max="15366" width="22.85546875" customWidth="1"/>
    <col min="15367" max="15367" width="19.28515625" customWidth="1"/>
    <col min="15368" max="15368" width="24.7109375" customWidth="1"/>
    <col min="15369" max="15369" width="24.5703125" customWidth="1"/>
    <col min="15619" max="15619" width="40.5703125" customWidth="1"/>
    <col min="15620" max="15620" width="20.28515625" customWidth="1"/>
    <col min="15621" max="15621" width="18" customWidth="1"/>
    <col min="15622" max="15622" width="22.85546875" customWidth="1"/>
    <col min="15623" max="15623" width="19.28515625" customWidth="1"/>
    <col min="15624" max="15624" width="24.7109375" customWidth="1"/>
    <col min="15625" max="15625" width="24.5703125" customWidth="1"/>
    <col min="15875" max="15875" width="40.5703125" customWidth="1"/>
    <col min="15876" max="15876" width="20.28515625" customWidth="1"/>
    <col min="15877" max="15877" width="18" customWidth="1"/>
    <col min="15878" max="15878" width="22.85546875" customWidth="1"/>
    <col min="15879" max="15879" width="19.28515625" customWidth="1"/>
    <col min="15880" max="15880" width="24.7109375" customWidth="1"/>
    <col min="15881" max="15881" width="24.5703125" customWidth="1"/>
    <col min="16131" max="16131" width="40.5703125" customWidth="1"/>
    <col min="16132" max="16132" width="20.28515625" customWidth="1"/>
    <col min="16133" max="16133" width="18" customWidth="1"/>
    <col min="16134" max="16134" width="22.85546875" customWidth="1"/>
    <col min="16135" max="16135" width="19.28515625" customWidth="1"/>
    <col min="16136" max="16136" width="24.7109375" customWidth="1"/>
    <col min="16137" max="16137" width="24.5703125" customWidth="1"/>
  </cols>
  <sheetData>
    <row r="1" spans="2:10" ht="15.75" thickBot="1" x14ac:dyDescent="0.3"/>
    <row r="2" spans="2:10" ht="99.75" customHeight="1" x14ac:dyDescent="0.25">
      <c r="B2" s="183" t="s">
        <v>311</v>
      </c>
      <c r="C2" s="184"/>
      <c r="D2" s="184"/>
      <c r="E2" s="184"/>
      <c r="F2" s="184"/>
      <c r="G2" s="184"/>
      <c r="H2" s="184"/>
      <c r="I2" s="184"/>
      <c r="J2" s="185"/>
    </row>
    <row r="3" spans="2:10" x14ac:dyDescent="0.25">
      <c r="B3" s="14"/>
      <c r="C3" s="2"/>
      <c r="D3" s="2"/>
      <c r="E3" s="2"/>
      <c r="F3" s="2"/>
      <c r="G3" s="2"/>
      <c r="H3" s="2"/>
      <c r="I3" s="2"/>
      <c r="J3" s="5"/>
    </row>
    <row r="4" spans="2:10" ht="45.75" x14ac:dyDescent="0.25">
      <c r="B4" s="259" t="s">
        <v>348</v>
      </c>
      <c r="C4" s="260"/>
      <c r="D4" s="48" t="s">
        <v>206</v>
      </c>
      <c r="E4" s="48" t="s">
        <v>325</v>
      </c>
      <c r="F4" s="48" t="s">
        <v>324</v>
      </c>
      <c r="G4" s="48" t="s">
        <v>302</v>
      </c>
      <c r="H4" s="48" t="s">
        <v>319</v>
      </c>
      <c r="I4" s="48" t="s">
        <v>357</v>
      </c>
      <c r="J4" s="5"/>
    </row>
    <row r="5" spans="2:10" ht="15.75" x14ac:dyDescent="0.25">
      <c r="B5" s="259">
        <v>1</v>
      </c>
      <c r="C5" s="260"/>
      <c r="D5" s="80">
        <v>2</v>
      </c>
      <c r="E5" s="80">
        <v>3</v>
      </c>
      <c r="F5" s="80">
        <v>4</v>
      </c>
      <c r="G5" s="80">
        <v>5</v>
      </c>
      <c r="H5" s="80">
        <v>6</v>
      </c>
      <c r="I5" s="80">
        <v>7</v>
      </c>
      <c r="J5" s="5"/>
    </row>
    <row r="6" spans="2:10" ht="30" customHeight="1" x14ac:dyDescent="0.25">
      <c r="B6" s="259"/>
      <c r="C6" s="260"/>
      <c r="D6" s="47"/>
      <c r="E6" s="47"/>
      <c r="F6" s="47"/>
      <c r="G6" s="47"/>
      <c r="H6" s="47" t="s">
        <v>345</v>
      </c>
      <c r="I6" s="47" t="s">
        <v>175</v>
      </c>
      <c r="J6" s="5"/>
    </row>
    <row r="7" spans="2:10" ht="30" customHeight="1" x14ac:dyDescent="0.25">
      <c r="B7" s="259" t="s">
        <v>337</v>
      </c>
      <c r="C7" s="260"/>
      <c r="D7" s="50">
        <f>951285.24/7.5345</f>
        <v>126257.24865618156</v>
      </c>
      <c r="E7" s="50">
        <v>330287</v>
      </c>
      <c r="F7" s="50">
        <v>330287</v>
      </c>
      <c r="G7" s="50">
        <v>151718.67000000001</v>
      </c>
      <c r="H7" s="50">
        <f>G7/D7*100</f>
        <v>120.16630460018492</v>
      </c>
      <c r="I7" s="50">
        <f t="shared" ref="I7:I16" si="0">G7/F7*100</f>
        <v>45.935404663217142</v>
      </c>
      <c r="J7" s="5"/>
    </row>
    <row r="8" spans="2:10" ht="30" customHeight="1" x14ac:dyDescent="0.25">
      <c r="B8" s="259" t="s">
        <v>349</v>
      </c>
      <c r="C8" s="260"/>
      <c r="D8" s="50">
        <f>43322.07/7.5345</f>
        <v>5749.8267967350184</v>
      </c>
      <c r="E8" s="50">
        <v>36113</v>
      </c>
      <c r="F8" s="50">
        <f>37440-1327</f>
        <v>36113</v>
      </c>
      <c r="G8" s="50">
        <v>0</v>
      </c>
      <c r="H8" s="50">
        <f t="shared" ref="H8:H16" si="1">G8/D8*100</f>
        <v>0</v>
      </c>
      <c r="I8" s="50">
        <f t="shared" si="0"/>
        <v>0</v>
      </c>
      <c r="J8" s="5"/>
    </row>
    <row r="9" spans="2:10" ht="30" customHeight="1" x14ac:dyDescent="0.25">
      <c r="B9" s="259" t="s">
        <v>350</v>
      </c>
      <c r="C9" s="260"/>
      <c r="D9" s="50">
        <f>5980.11/7.5345</f>
        <v>793.69699382838928</v>
      </c>
      <c r="E9" s="50"/>
      <c r="F9" s="50">
        <v>17877</v>
      </c>
      <c r="G9" s="50">
        <v>137.9</v>
      </c>
      <c r="H9" s="50">
        <f t="shared" si="1"/>
        <v>17.374388598203048</v>
      </c>
      <c r="I9" s="50">
        <f t="shared" si="0"/>
        <v>0.77138222296805947</v>
      </c>
      <c r="J9" s="5"/>
    </row>
    <row r="10" spans="2:10" ht="30" customHeight="1" x14ac:dyDescent="0.25">
      <c r="B10" s="259" t="s">
        <v>351</v>
      </c>
      <c r="C10" s="260"/>
      <c r="D10" s="50">
        <f>104530.37/7.5345</f>
        <v>13873.564271019974</v>
      </c>
      <c r="E10" s="50">
        <v>563008</v>
      </c>
      <c r="F10" s="50">
        <v>563008</v>
      </c>
      <c r="G10" s="50">
        <v>140748.18</v>
      </c>
      <c r="H10" s="50">
        <f>G10/D10*100</f>
        <v>1014.5062743105186</v>
      </c>
      <c r="I10" s="50">
        <f t="shared" si="0"/>
        <v>24.999321501648289</v>
      </c>
      <c r="J10" s="5"/>
    </row>
    <row r="11" spans="2:10" ht="30" customHeight="1" x14ac:dyDescent="0.25">
      <c r="B11" s="259" t="s">
        <v>352</v>
      </c>
      <c r="C11" s="260"/>
      <c r="D11" s="50">
        <f>1395825.83/7.5345</f>
        <v>185257.92421527641</v>
      </c>
      <c r="E11" s="50">
        <v>216339</v>
      </c>
      <c r="F11" s="50">
        <v>288607</v>
      </c>
      <c r="G11" s="50">
        <v>59287.77</v>
      </c>
      <c r="H11" s="50">
        <f t="shared" si="1"/>
        <v>32.002825385814788</v>
      </c>
      <c r="I11" s="50">
        <f t="shared" si="0"/>
        <v>20.542734583707258</v>
      </c>
      <c r="J11" s="5"/>
    </row>
    <row r="12" spans="2:10" ht="30" customHeight="1" x14ac:dyDescent="0.25">
      <c r="B12" s="259" t="s">
        <v>353</v>
      </c>
      <c r="C12" s="260"/>
      <c r="D12" s="50">
        <f>189094.47/7.5345</f>
        <v>25097.149114075251</v>
      </c>
      <c r="E12" s="50">
        <v>14599</v>
      </c>
      <c r="F12" s="50">
        <v>1327</v>
      </c>
      <c r="G12" s="50">
        <v>0</v>
      </c>
      <c r="H12" s="50">
        <f t="shared" si="1"/>
        <v>0</v>
      </c>
      <c r="I12" s="50">
        <f t="shared" si="0"/>
        <v>0</v>
      </c>
      <c r="J12" s="5"/>
    </row>
    <row r="13" spans="2:10" ht="30" customHeight="1" x14ac:dyDescent="0.25">
      <c r="B13" s="259" t="s">
        <v>340</v>
      </c>
      <c r="C13" s="260"/>
      <c r="D13" s="50">
        <f>43713.79/7.5345</f>
        <v>5801.8169752471958</v>
      </c>
      <c r="E13" s="50">
        <v>36896</v>
      </c>
      <c r="F13" s="50">
        <v>26409</v>
      </c>
      <c r="G13" s="50">
        <f>12961.6-1327.23</f>
        <v>11634.37</v>
      </c>
      <c r="H13" s="50">
        <f t="shared" si="1"/>
        <v>200.52976592741106</v>
      </c>
      <c r="I13" s="50">
        <f t="shared" si="0"/>
        <v>44.054564731720255</v>
      </c>
      <c r="J13" s="5"/>
    </row>
    <row r="14" spans="2:10" ht="30" customHeight="1" x14ac:dyDescent="0.25">
      <c r="B14" s="259" t="s">
        <v>354</v>
      </c>
      <c r="C14" s="260"/>
      <c r="D14" s="50">
        <v>0</v>
      </c>
      <c r="E14" s="50">
        <v>1327</v>
      </c>
      <c r="F14" s="50">
        <v>1327</v>
      </c>
      <c r="G14" s="50">
        <v>0</v>
      </c>
      <c r="H14" s="50" t="e">
        <f t="shared" si="1"/>
        <v>#DIV/0!</v>
      </c>
      <c r="I14" s="50">
        <f t="shared" si="0"/>
        <v>0</v>
      </c>
      <c r="J14" s="5"/>
    </row>
    <row r="15" spans="2:10" ht="30" customHeight="1" x14ac:dyDescent="0.25">
      <c r="B15" s="259" t="s">
        <v>355</v>
      </c>
      <c r="C15" s="260"/>
      <c r="D15" s="50">
        <v>217168.1</v>
      </c>
      <c r="E15" s="50"/>
      <c r="F15" s="50">
        <v>4991</v>
      </c>
      <c r="G15" s="50">
        <v>1327.23</v>
      </c>
      <c r="H15" s="50">
        <f t="shared" si="1"/>
        <v>0.61115329553465725</v>
      </c>
      <c r="I15" s="50">
        <f t="shared" si="0"/>
        <v>26.592466439591266</v>
      </c>
      <c r="J15" s="5"/>
    </row>
    <row r="16" spans="2:10" ht="30.75" customHeight="1" thickBot="1" x14ac:dyDescent="0.3">
      <c r="B16" s="261" t="s">
        <v>182</v>
      </c>
      <c r="C16" s="262"/>
      <c r="D16" s="63">
        <f>SUM(D7:D15)</f>
        <v>579999.32702236378</v>
      </c>
      <c r="E16" s="63">
        <f>SUM(E7:E15)</f>
        <v>1198569</v>
      </c>
      <c r="F16" s="63">
        <f>SUM(F7:F15)</f>
        <v>1269946</v>
      </c>
      <c r="G16" s="63">
        <f>SUM(G7:G15)</f>
        <v>364854.12</v>
      </c>
      <c r="H16" s="50">
        <f t="shared" si="1"/>
        <v>62.905955748795527</v>
      </c>
      <c r="I16" s="50">
        <f t="shared" si="0"/>
        <v>28.729892452120009</v>
      </c>
      <c r="J16" s="11"/>
    </row>
    <row r="17" spans="15:15" x14ac:dyDescent="0.25">
      <c r="O17">
        <v>1</v>
      </c>
    </row>
  </sheetData>
  <mergeCells count="14">
    <mergeCell ref="B2:J2"/>
    <mergeCell ref="B4:C4"/>
    <mergeCell ref="B5:C5"/>
    <mergeCell ref="B6:C6"/>
    <mergeCell ref="B7:C7"/>
    <mergeCell ref="B13:C13"/>
    <mergeCell ref="B14:C14"/>
    <mergeCell ref="B15:C15"/>
    <mergeCell ref="B16:C16"/>
    <mergeCell ref="B8:C8"/>
    <mergeCell ref="B9:C9"/>
    <mergeCell ref="B10:C10"/>
    <mergeCell ref="B11:C11"/>
    <mergeCell ref="B12:C12"/>
  </mergeCells>
  <pageMargins left="0.7" right="0.7" top="0.75" bottom="0.75" header="0.3" footer="0.3"/>
  <pageSetup paperSize="9" scale="42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4"/>
  <sheetViews>
    <sheetView workbookViewId="0">
      <selection activeCell="B2" sqref="B2:J13"/>
    </sheetView>
  </sheetViews>
  <sheetFormatPr defaultRowHeight="15" x14ac:dyDescent="0.25"/>
  <cols>
    <col min="2" max="2" width="15.7109375" customWidth="1"/>
    <col min="3" max="3" width="56.85546875" customWidth="1"/>
    <col min="4" max="9" width="15.7109375" customWidth="1"/>
    <col min="10" max="10" width="0.140625" customWidth="1"/>
    <col min="259" max="259" width="40.5703125" customWidth="1"/>
    <col min="260" max="260" width="20.28515625" customWidth="1"/>
    <col min="261" max="261" width="18" customWidth="1"/>
    <col min="262" max="262" width="22.85546875" customWidth="1"/>
    <col min="263" max="263" width="19.28515625" customWidth="1"/>
    <col min="264" max="264" width="24.7109375" customWidth="1"/>
    <col min="265" max="265" width="24.5703125" customWidth="1"/>
    <col min="515" max="515" width="40.5703125" customWidth="1"/>
    <col min="516" max="516" width="20.28515625" customWidth="1"/>
    <col min="517" max="517" width="18" customWidth="1"/>
    <col min="518" max="518" width="22.85546875" customWidth="1"/>
    <col min="519" max="519" width="19.28515625" customWidth="1"/>
    <col min="520" max="520" width="24.7109375" customWidth="1"/>
    <col min="521" max="521" width="24.5703125" customWidth="1"/>
    <col min="771" max="771" width="40.5703125" customWidth="1"/>
    <col min="772" max="772" width="20.28515625" customWidth="1"/>
    <col min="773" max="773" width="18" customWidth="1"/>
    <col min="774" max="774" width="22.85546875" customWidth="1"/>
    <col min="775" max="775" width="19.28515625" customWidth="1"/>
    <col min="776" max="776" width="24.7109375" customWidth="1"/>
    <col min="777" max="777" width="24.5703125" customWidth="1"/>
    <col min="1027" max="1027" width="40.5703125" customWidth="1"/>
    <col min="1028" max="1028" width="20.28515625" customWidth="1"/>
    <col min="1029" max="1029" width="18" customWidth="1"/>
    <col min="1030" max="1030" width="22.85546875" customWidth="1"/>
    <col min="1031" max="1031" width="19.28515625" customWidth="1"/>
    <col min="1032" max="1032" width="24.7109375" customWidth="1"/>
    <col min="1033" max="1033" width="24.5703125" customWidth="1"/>
    <col min="1283" max="1283" width="40.5703125" customWidth="1"/>
    <col min="1284" max="1284" width="20.28515625" customWidth="1"/>
    <col min="1285" max="1285" width="18" customWidth="1"/>
    <col min="1286" max="1286" width="22.85546875" customWidth="1"/>
    <col min="1287" max="1287" width="19.28515625" customWidth="1"/>
    <col min="1288" max="1288" width="24.7109375" customWidth="1"/>
    <col min="1289" max="1289" width="24.5703125" customWidth="1"/>
    <col min="1539" max="1539" width="40.5703125" customWidth="1"/>
    <col min="1540" max="1540" width="20.28515625" customWidth="1"/>
    <col min="1541" max="1541" width="18" customWidth="1"/>
    <col min="1542" max="1542" width="22.85546875" customWidth="1"/>
    <col min="1543" max="1543" width="19.28515625" customWidth="1"/>
    <col min="1544" max="1544" width="24.7109375" customWidth="1"/>
    <col min="1545" max="1545" width="24.5703125" customWidth="1"/>
    <col min="1795" max="1795" width="40.5703125" customWidth="1"/>
    <col min="1796" max="1796" width="20.28515625" customWidth="1"/>
    <col min="1797" max="1797" width="18" customWidth="1"/>
    <col min="1798" max="1798" width="22.85546875" customWidth="1"/>
    <col min="1799" max="1799" width="19.28515625" customWidth="1"/>
    <col min="1800" max="1800" width="24.7109375" customWidth="1"/>
    <col min="1801" max="1801" width="24.5703125" customWidth="1"/>
    <col min="2051" max="2051" width="40.5703125" customWidth="1"/>
    <col min="2052" max="2052" width="20.28515625" customWidth="1"/>
    <col min="2053" max="2053" width="18" customWidth="1"/>
    <col min="2054" max="2054" width="22.85546875" customWidth="1"/>
    <col min="2055" max="2055" width="19.28515625" customWidth="1"/>
    <col min="2056" max="2056" width="24.7109375" customWidth="1"/>
    <col min="2057" max="2057" width="24.5703125" customWidth="1"/>
    <col min="2307" max="2307" width="40.5703125" customWidth="1"/>
    <col min="2308" max="2308" width="20.28515625" customWidth="1"/>
    <col min="2309" max="2309" width="18" customWidth="1"/>
    <col min="2310" max="2310" width="22.85546875" customWidth="1"/>
    <col min="2311" max="2311" width="19.28515625" customWidth="1"/>
    <col min="2312" max="2312" width="24.7109375" customWidth="1"/>
    <col min="2313" max="2313" width="24.5703125" customWidth="1"/>
    <col min="2563" max="2563" width="40.5703125" customWidth="1"/>
    <col min="2564" max="2564" width="20.28515625" customWidth="1"/>
    <col min="2565" max="2565" width="18" customWidth="1"/>
    <col min="2566" max="2566" width="22.85546875" customWidth="1"/>
    <col min="2567" max="2567" width="19.28515625" customWidth="1"/>
    <col min="2568" max="2568" width="24.7109375" customWidth="1"/>
    <col min="2569" max="2569" width="24.5703125" customWidth="1"/>
    <col min="2819" max="2819" width="40.5703125" customWidth="1"/>
    <col min="2820" max="2820" width="20.28515625" customWidth="1"/>
    <col min="2821" max="2821" width="18" customWidth="1"/>
    <col min="2822" max="2822" width="22.85546875" customWidth="1"/>
    <col min="2823" max="2823" width="19.28515625" customWidth="1"/>
    <col min="2824" max="2824" width="24.7109375" customWidth="1"/>
    <col min="2825" max="2825" width="24.5703125" customWidth="1"/>
    <col min="3075" max="3075" width="40.5703125" customWidth="1"/>
    <col min="3076" max="3076" width="20.28515625" customWidth="1"/>
    <col min="3077" max="3077" width="18" customWidth="1"/>
    <col min="3078" max="3078" width="22.85546875" customWidth="1"/>
    <col min="3079" max="3079" width="19.28515625" customWidth="1"/>
    <col min="3080" max="3080" width="24.7109375" customWidth="1"/>
    <col min="3081" max="3081" width="24.5703125" customWidth="1"/>
    <col min="3331" max="3331" width="40.5703125" customWidth="1"/>
    <col min="3332" max="3332" width="20.28515625" customWidth="1"/>
    <col min="3333" max="3333" width="18" customWidth="1"/>
    <col min="3334" max="3334" width="22.85546875" customWidth="1"/>
    <col min="3335" max="3335" width="19.28515625" customWidth="1"/>
    <col min="3336" max="3336" width="24.7109375" customWidth="1"/>
    <col min="3337" max="3337" width="24.5703125" customWidth="1"/>
    <col min="3587" max="3587" width="40.5703125" customWidth="1"/>
    <col min="3588" max="3588" width="20.28515625" customWidth="1"/>
    <col min="3589" max="3589" width="18" customWidth="1"/>
    <col min="3590" max="3590" width="22.85546875" customWidth="1"/>
    <col min="3591" max="3591" width="19.28515625" customWidth="1"/>
    <col min="3592" max="3592" width="24.7109375" customWidth="1"/>
    <col min="3593" max="3593" width="24.5703125" customWidth="1"/>
    <col min="3843" max="3843" width="40.5703125" customWidth="1"/>
    <col min="3844" max="3844" width="20.28515625" customWidth="1"/>
    <col min="3845" max="3845" width="18" customWidth="1"/>
    <col min="3846" max="3846" width="22.85546875" customWidth="1"/>
    <col min="3847" max="3847" width="19.28515625" customWidth="1"/>
    <col min="3848" max="3848" width="24.7109375" customWidth="1"/>
    <col min="3849" max="3849" width="24.5703125" customWidth="1"/>
    <col min="4099" max="4099" width="40.5703125" customWidth="1"/>
    <col min="4100" max="4100" width="20.28515625" customWidth="1"/>
    <col min="4101" max="4101" width="18" customWidth="1"/>
    <col min="4102" max="4102" width="22.85546875" customWidth="1"/>
    <col min="4103" max="4103" width="19.28515625" customWidth="1"/>
    <col min="4104" max="4104" width="24.7109375" customWidth="1"/>
    <col min="4105" max="4105" width="24.5703125" customWidth="1"/>
    <col min="4355" max="4355" width="40.5703125" customWidth="1"/>
    <col min="4356" max="4356" width="20.28515625" customWidth="1"/>
    <col min="4357" max="4357" width="18" customWidth="1"/>
    <col min="4358" max="4358" width="22.85546875" customWidth="1"/>
    <col min="4359" max="4359" width="19.28515625" customWidth="1"/>
    <col min="4360" max="4360" width="24.7109375" customWidth="1"/>
    <col min="4361" max="4361" width="24.5703125" customWidth="1"/>
    <col min="4611" max="4611" width="40.5703125" customWidth="1"/>
    <col min="4612" max="4612" width="20.28515625" customWidth="1"/>
    <col min="4613" max="4613" width="18" customWidth="1"/>
    <col min="4614" max="4614" width="22.85546875" customWidth="1"/>
    <col min="4615" max="4615" width="19.28515625" customWidth="1"/>
    <col min="4616" max="4616" width="24.7109375" customWidth="1"/>
    <col min="4617" max="4617" width="24.5703125" customWidth="1"/>
    <col min="4867" max="4867" width="40.5703125" customWidth="1"/>
    <col min="4868" max="4868" width="20.28515625" customWidth="1"/>
    <col min="4869" max="4869" width="18" customWidth="1"/>
    <col min="4870" max="4870" width="22.85546875" customWidth="1"/>
    <col min="4871" max="4871" width="19.28515625" customWidth="1"/>
    <col min="4872" max="4872" width="24.7109375" customWidth="1"/>
    <col min="4873" max="4873" width="24.5703125" customWidth="1"/>
    <col min="5123" max="5123" width="40.5703125" customWidth="1"/>
    <col min="5124" max="5124" width="20.28515625" customWidth="1"/>
    <col min="5125" max="5125" width="18" customWidth="1"/>
    <col min="5126" max="5126" width="22.85546875" customWidth="1"/>
    <col min="5127" max="5127" width="19.28515625" customWidth="1"/>
    <col min="5128" max="5128" width="24.7109375" customWidth="1"/>
    <col min="5129" max="5129" width="24.5703125" customWidth="1"/>
    <col min="5379" max="5379" width="40.5703125" customWidth="1"/>
    <col min="5380" max="5380" width="20.28515625" customWidth="1"/>
    <col min="5381" max="5381" width="18" customWidth="1"/>
    <col min="5382" max="5382" width="22.85546875" customWidth="1"/>
    <col min="5383" max="5383" width="19.28515625" customWidth="1"/>
    <col min="5384" max="5384" width="24.7109375" customWidth="1"/>
    <col min="5385" max="5385" width="24.5703125" customWidth="1"/>
    <col min="5635" max="5635" width="40.5703125" customWidth="1"/>
    <col min="5636" max="5636" width="20.28515625" customWidth="1"/>
    <col min="5637" max="5637" width="18" customWidth="1"/>
    <col min="5638" max="5638" width="22.85546875" customWidth="1"/>
    <col min="5639" max="5639" width="19.28515625" customWidth="1"/>
    <col min="5640" max="5640" width="24.7109375" customWidth="1"/>
    <col min="5641" max="5641" width="24.5703125" customWidth="1"/>
    <col min="5891" max="5891" width="40.5703125" customWidth="1"/>
    <col min="5892" max="5892" width="20.28515625" customWidth="1"/>
    <col min="5893" max="5893" width="18" customWidth="1"/>
    <col min="5894" max="5894" width="22.85546875" customWidth="1"/>
    <col min="5895" max="5895" width="19.28515625" customWidth="1"/>
    <col min="5896" max="5896" width="24.7109375" customWidth="1"/>
    <col min="5897" max="5897" width="24.5703125" customWidth="1"/>
    <col min="6147" max="6147" width="40.5703125" customWidth="1"/>
    <col min="6148" max="6148" width="20.28515625" customWidth="1"/>
    <col min="6149" max="6149" width="18" customWidth="1"/>
    <col min="6150" max="6150" width="22.85546875" customWidth="1"/>
    <col min="6151" max="6151" width="19.28515625" customWidth="1"/>
    <col min="6152" max="6152" width="24.7109375" customWidth="1"/>
    <col min="6153" max="6153" width="24.5703125" customWidth="1"/>
    <col min="6403" max="6403" width="40.5703125" customWidth="1"/>
    <col min="6404" max="6404" width="20.28515625" customWidth="1"/>
    <col min="6405" max="6405" width="18" customWidth="1"/>
    <col min="6406" max="6406" width="22.85546875" customWidth="1"/>
    <col min="6407" max="6407" width="19.28515625" customWidth="1"/>
    <col min="6408" max="6408" width="24.7109375" customWidth="1"/>
    <col min="6409" max="6409" width="24.5703125" customWidth="1"/>
    <col min="6659" max="6659" width="40.5703125" customWidth="1"/>
    <col min="6660" max="6660" width="20.28515625" customWidth="1"/>
    <col min="6661" max="6661" width="18" customWidth="1"/>
    <col min="6662" max="6662" width="22.85546875" customWidth="1"/>
    <col min="6663" max="6663" width="19.28515625" customWidth="1"/>
    <col min="6664" max="6664" width="24.7109375" customWidth="1"/>
    <col min="6665" max="6665" width="24.5703125" customWidth="1"/>
    <col min="6915" max="6915" width="40.5703125" customWidth="1"/>
    <col min="6916" max="6916" width="20.28515625" customWidth="1"/>
    <col min="6917" max="6917" width="18" customWidth="1"/>
    <col min="6918" max="6918" width="22.85546875" customWidth="1"/>
    <col min="6919" max="6919" width="19.28515625" customWidth="1"/>
    <col min="6920" max="6920" width="24.7109375" customWidth="1"/>
    <col min="6921" max="6921" width="24.5703125" customWidth="1"/>
    <col min="7171" max="7171" width="40.5703125" customWidth="1"/>
    <col min="7172" max="7172" width="20.28515625" customWidth="1"/>
    <col min="7173" max="7173" width="18" customWidth="1"/>
    <col min="7174" max="7174" width="22.85546875" customWidth="1"/>
    <col min="7175" max="7175" width="19.28515625" customWidth="1"/>
    <col min="7176" max="7176" width="24.7109375" customWidth="1"/>
    <col min="7177" max="7177" width="24.5703125" customWidth="1"/>
    <col min="7427" max="7427" width="40.5703125" customWidth="1"/>
    <col min="7428" max="7428" width="20.28515625" customWidth="1"/>
    <col min="7429" max="7429" width="18" customWidth="1"/>
    <col min="7430" max="7430" width="22.85546875" customWidth="1"/>
    <col min="7431" max="7431" width="19.28515625" customWidth="1"/>
    <col min="7432" max="7432" width="24.7109375" customWidth="1"/>
    <col min="7433" max="7433" width="24.5703125" customWidth="1"/>
    <col min="7683" max="7683" width="40.5703125" customWidth="1"/>
    <col min="7684" max="7684" width="20.28515625" customWidth="1"/>
    <col min="7685" max="7685" width="18" customWidth="1"/>
    <col min="7686" max="7686" width="22.85546875" customWidth="1"/>
    <col min="7687" max="7687" width="19.28515625" customWidth="1"/>
    <col min="7688" max="7688" width="24.7109375" customWidth="1"/>
    <col min="7689" max="7689" width="24.5703125" customWidth="1"/>
    <col min="7939" max="7939" width="40.5703125" customWidth="1"/>
    <col min="7940" max="7940" width="20.28515625" customWidth="1"/>
    <col min="7941" max="7941" width="18" customWidth="1"/>
    <col min="7942" max="7942" width="22.85546875" customWidth="1"/>
    <col min="7943" max="7943" width="19.28515625" customWidth="1"/>
    <col min="7944" max="7944" width="24.7109375" customWidth="1"/>
    <col min="7945" max="7945" width="24.5703125" customWidth="1"/>
    <col min="8195" max="8195" width="40.5703125" customWidth="1"/>
    <col min="8196" max="8196" width="20.28515625" customWidth="1"/>
    <col min="8197" max="8197" width="18" customWidth="1"/>
    <col min="8198" max="8198" width="22.85546875" customWidth="1"/>
    <col min="8199" max="8199" width="19.28515625" customWidth="1"/>
    <col min="8200" max="8200" width="24.7109375" customWidth="1"/>
    <col min="8201" max="8201" width="24.5703125" customWidth="1"/>
    <col min="8451" max="8451" width="40.5703125" customWidth="1"/>
    <col min="8452" max="8452" width="20.28515625" customWidth="1"/>
    <col min="8453" max="8453" width="18" customWidth="1"/>
    <col min="8454" max="8454" width="22.85546875" customWidth="1"/>
    <col min="8455" max="8455" width="19.28515625" customWidth="1"/>
    <col min="8456" max="8456" width="24.7109375" customWidth="1"/>
    <col min="8457" max="8457" width="24.5703125" customWidth="1"/>
    <col min="8707" max="8707" width="40.5703125" customWidth="1"/>
    <col min="8708" max="8708" width="20.28515625" customWidth="1"/>
    <col min="8709" max="8709" width="18" customWidth="1"/>
    <col min="8710" max="8710" width="22.85546875" customWidth="1"/>
    <col min="8711" max="8711" width="19.28515625" customWidth="1"/>
    <col min="8712" max="8712" width="24.7109375" customWidth="1"/>
    <col min="8713" max="8713" width="24.5703125" customWidth="1"/>
    <col min="8963" max="8963" width="40.5703125" customWidth="1"/>
    <col min="8964" max="8964" width="20.28515625" customWidth="1"/>
    <col min="8965" max="8965" width="18" customWidth="1"/>
    <col min="8966" max="8966" width="22.85546875" customWidth="1"/>
    <col min="8967" max="8967" width="19.28515625" customWidth="1"/>
    <col min="8968" max="8968" width="24.7109375" customWidth="1"/>
    <col min="8969" max="8969" width="24.5703125" customWidth="1"/>
    <col min="9219" max="9219" width="40.5703125" customWidth="1"/>
    <col min="9220" max="9220" width="20.28515625" customWidth="1"/>
    <col min="9221" max="9221" width="18" customWidth="1"/>
    <col min="9222" max="9222" width="22.85546875" customWidth="1"/>
    <col min="9223" max="9223" width="19.28515625" customWidth="1"/>
    <col min="9224" max="9224" width="24.7109375" customWidth="1"/>
    <col min="9225" max="9225" width="24.5703125" customWidth="1"/>
    <col min="9475" max="9475" width="40.5703125" customWidth="1"/>
    <col min="9476" max="9476" width="20.28515625" customWidth="1"/>
    <col min="9477" max="9477" width="18" customWidth="1"/>
    <col min="9478" max="9478" width="22.85546875" customWidth="1"/>
    <col min="9479" max="9479" width="19.28515625" customWidth="1"/>
    <col min="9480" max="9480" width="24.7109375" customWidth="1"/>
    <col min="9481" max="9481" width="24.5703125" customWidth="1"/>
    <col min="9731" max="9731" width="40.5703125" customWidth="1"/>
    <col min="9732" max="9732" width="20.28515625" customWidth="1"/>
    <col min="9733" max="9733" width="18" customWidth="1"/>
    <col min="9734" max="9734" width="22.85546875" customWidth="1"/>
    <col min="9735" max="9735" width="19.28515625" customWidth="1"/>
    <col min="9736" max="9736" width="24.7109375" customWidth="1"/>
    <col min="9737" max="9737" width="24.5703125" customWidth="1"/>
    <col min="9987" max="9987" width="40.5703125" customWidth="1"/>
    <col min="9988" max="9988" width="20.28515625" customWidth="1"/>
    <col min="9989" max="9989" width="18" customWidth="1"/>
    <col min="9990" max="9990" width="22.85546875" customWidth="1"/>
    <col min="9991" max="9991" width="19.28515625" customWidth="1"/>
    <col min="9992" max="9992" width="24.7109375" customWidth="1"/>
    <col min="9993" max="9993" width="24.5703125" customWidth="1"/>
    <col min="10243" max="10243" width="40.5703125" customWidth="1"/>
    <col min="10244" max="10244" width="20.28515625" customWidth="1"/>
    <col min="10245" max="10245" width="18" customWidth="1"/>
    <col min="10246" max="10246" width="22.85546875" customWidth="1"/>
    <col min="10247" max="10247" width="19.28515625" customWidth="1"/>
    <col min="10248" max="10248" width="24.7109375" customWidth="1"/>
    <col min="10249" max="10249" width="24.5703125" customWidth="1"/>
    <col min="10499" max="10499" width="40.5703125" customWidth="1"/>
    <col min="10500" max="10500" width="20.28515625" customWidth="1"/>
    <col min="10501" max="10501" width="18" customWidth="1"/>
    <col min="10502" max="10502" width="22.85546875" customWidth="1"/>
    <col min="10503" max="10503" width="19.28515625" customWidth="1"/>
    <col min="10504" max="10504" width="24.7109375" customWidth="1"/>
    <col min="10505" max="10505" width="24.5703125" customWidth="1"/>
    <col min="10755" max="10755" width="40.5703125" customWidth="1"/>
    <col min="10756" max="10756" width="20.28515625" customWidth="1"/>
    <col min="10757" max="10757" width="18" customWidth="1"/>
    <col min="10758" max="10758" width="22.85546875" customWidth="1"/>
    <col min="10759" max="10759" width="19.28515625" customWidth="1"/>
    <col min="10760" max="10760" width="24.7109375" customWidth="1"/>
    <col min="10761" max="10761" width="24.5703125" customWidth="1"/>
    <col min="11011" max="11011" width="40.5703125" customWidth="1"/>
    <col min="11012" max="11012" width="20.28515625" customWidth="1"/>
    <col min="11013" max="11013" width="18" customWidth="1"/>
    <col min="11014" max="11014" width="22.85546875" customWidth="1"/>
    <col min="11015" max="11015" width="19.28515625" customWidth="1"/>
    <col min="11016" max="11016" width="24.7109375" customWidth="1"/>
    <col min="11017" max="11017" width="24.5703125" customWidth="1"/>
    <col min="11267" max="11267" width="40.5703125" customWidth="1"/>
    <col min="11268" max="11268" width="20.28515625" customWidth="1"/>
    <col min="11269" max="11269" width="18" customWidth="1"/>
    <col min="11270" max="11270" width="22.85546875" customWidth="1"/>
    <col min="11271" max="11271" width="19.28515625" customWidth="1"/>
    <col min="11272" max="11272" width="24.7109375" customWidth="1"/>
    <col min="11273" max="11273" width="24.5703125" customWidth="1"/>
    <col min="11523" max="11523" width="40.5703125" customWidth="1"/>
    <col min="11524" max="11524" width="20.28515625" customWidth="1"/>
    <col min="11525" max="11525" width="18" customWidth="1"/>
    <col min="11526" max="11526" width="22.85546875" customWidth="1"/>
    <col min="11527" max="11527" width="19.28515625" customWidth="1"/>
    <col min="11528" max="11528" width="24.7109375" customWidth="1"/>
    <col min="11529" max="11529" width="24.5703125" customWidth="1"/>
    <col min="11779" max="11779" width="40.5703125" customWidth="1"/>
    <col min="11780" max="11780" width="20.28515625" customWidth="1"/>
    <col min="11781" max="11781" width="18" customWidth="1"/>
    <col min="11782" max="11782" width="22.85546875" customWidth="1"/>
    <col min="11783" max="11783" width="19.28515625" customWidth="1"/>
    <col min="11784" max="11784" width="24.7109375" customWidth="1"/>
    <col min="11785" max="11785" width="24.5703125" customWidth="1"/>
    <col min="12035" max="12035" width="40.5703125" customWidth="1"/>
    <col min="12036" max="12036" width="20.28515625" customWidth="1"/>
    <col min="12037" max="12037" width="18" customWidth="1"/>
    <col min="12038" max="12038" width="22.85546875" customWidth="1"/>
    <col min="12039" max="12039" width="19.28515625" customWidth="1"/>
    <col min="12040" max="12040" width="24.7109375" customWidth="1"/>
    <col min="12041" max="12041" width="24.5703125" customWidth="1"/>
    <col min="12291" max="12291" width="40.5703125" customWidth="1"/>
    <col min="12292" max="12292" width="20.28515625" customWidth="1"/>
    <col min="12293" max="12293" width="18" customWidth="1"/>
    <col min="12294" max="12294" width="22.85546875" customWidth="1"/>
    <col min="12295" max="12295" width="19.28515625" customWidth="1"/>
    <col min="12296" max="12296" width="24.7109375" customWidth="1"/>
    <col min="12297" max="12297" width="24.5703125" customWidth="1"/>
    <col min="12547" max="12547" width="40.5703125" customWidth="1"/>
    <col min="12548" max="12548" width="20.28515625" customWidth="1"/>
    <col min="12549" max="12549" width="18" customWidth="1"/>
    <col min="12550" max="12550" width="22.85546875" customWidth="1"/>
    <col min="12551" max="12551" width="19.28515625" customWidth="1"/>
    <col min="12552" max="12552" width="24.7109375" customWidth="1"/>
    <col min="12553" max="12553" width="24.5703125" customWidth="1"/>
    <col min="12803" max="12803" width="40.5703125" customWidth="1"/>
    <col min="12804" max="12804" width="20.28515625" customWidth="1"/>
    <col min="12805" max="12805" width="18" customWidth="1"/>
    <col min="12806" max="12806" width="22.85546875" customWidth="1"/>
    <col min="12807" max="12807" width="19.28515625" customWidth="1"/>
    <col min="12808" max="12808" width="24.7109375" customWidth="1"/>
    <col min="12809" max="12809" width="24.5703125" customWidth="1"/>
    <col min="13059" max="13059" width="40.5703125" customWidth="1"/>
    <col min="13060" max="13060" width="20.28515625" customWidth="1"/>
    <col min="13061" max="13061" width="18" customWidth="1"/>
    <col min="13062" max="13062" width="22.85546875" customWidth="1"/>
    <col min="13063" max="13063" width="19.28515625" customWidth="1"/>
    <col min="13064" max="13064" width="24.7109375" customWidth="1"/>
    <col min="13065" max="13065" width="24.5703125" customWidth="1"/>
    <col min="13315" max="13315" width="40.5703125" customWidth="1"/>
    <col min="13316" max="13316" width="20.28515625" customWidth="1"/>
    <col min="13317" max="13317" width="18" customWidth="1"/>
    <col min="13318" max="13318" width="22.85546875" customWidth="1"/>
    <col min="13319" max="13319" width="19.28515625" customWidth="1"/>
    <col min="13320" max="13320" width="24.7109375" customWidth="1"/>
    <col min="13321" max="13321" width="24.5703125" customWidth="1"/>
    <col min="13571" max="13571" width="40.5703125" customWidth="1"/>
    <col min="13572" max="13572" width="20.28515625" customWidth="1"/>
    <col min="13573" max="13573" width="18" customWidth="1"/>
    <col min="13574" max="13574" width="22.85546875" customWidth="1"/>
    <col min="13575" max="13575" width="19.28515625" customWidth="1"/>
    <col min="13576" max="13576" width="24.7109375" customWidth="1"/>
    <col min="13577" max="13577" width="24.5703125" customWidth="1"/>
    <col min="13827" max="13827" width="40.5703125" customWidth="1"/>
    <col min="13828" max="13828" width="20.28515625" customWidth="1"/>
    <col min="13829" max="13829" width="18" customWidth="1"/>
    <col min="13830" max="13830" width="22.85546875" customWidth="1"/>
    <col min="13831" max="13831" width="19.28515625" customWidth="1"/>
    <col min="13832" max="13832" width="24.7109375" customWidth="1"/>
    <col min="13833" max="13833" width="24.5703125" customWidth="1"/>
    <col min="14083" max="14083" width="40.5703125" customWidth="1"/>
    <col min="14084" max="14084" width="20.28515625" customWidth="1"/>
    <col min="14085" max="14085" width="18" customWidth="1"/>
    <col min="14086" max="14086" width="22.85546875" customWidth="1"/>
    <col min="14087" max="14087" width="19.28515625" customWidth="1"/>
    <col min="14088" max="14088" width="24.7109375" customWidth="1"/>
    <col min="14089" max="14089" width="24.5703125" customWidth="1"/>
    <col min="14339" max="14339" width="40.5703125" customWidth="1"/>
    <col min="14340" max="14340" width="20.28515625" customWidth="1"/>
    <col min="14341" max="14341" width="18" customWidth="1"/>
    <col min="14342" max="14342" width="22.85546875" customWidth="1"/>
    <col min="14343" max="14343" width="19.28515625" customWidth="1"/>
    <col min="14344" max="14344" width="24.7109375" customWidth="1"/>
    <col min="14345" max="14345" width="24.5703125" customWidth="1"/>
    <col min="14595" max="14595" width="40.5703125" customWidth="1"/>
    <col min="14596" max="14596" width="20.28515625" customWidth="1"/>
    <col min="14597" max="14597" width="18" customWidth="1"/>
    <col min="14598" max="14598" width="22.85546875" customWidth="1"/>
    <col min="14599" max="14599" width="19.28515625" customWidth="1"/>
    <col min="14600" max="14600" width="24.7109375" customWidth="1"/>
    <col min="14601" max="14601" width="24.5703125" customWidth="1"/>
    <col min="14851" max="14851" width="40.5703125" customWidth="1"/>
    <col min="14852" max="14852" width="20.28515625" customWidth="1"/>
    <col min="14853" max="14853" width="18" customWidth="1"/>
    <col min="14854" max="14854" width="22.85546875" customWidth="1"/>
    <col min="14855" max="14855" width="19.28515625" customWidth="1"/>
    <col min="14856" max="14856" width="24.7109375" customWidth="1"/>
    <col min="14857" max="14857" width="24.5703125" customWidth="1"/>
    <col min="15107" max="15107" width="40.5703125" customWidth="1"/>
    <col min="15108" max="15108" width="20.28515625" customWidth="1"/>
    <col min="15109" max="15109" width="18" customWidth="1"/>
    <col min="15110" max="15110" width="22.85546875" customWidth="1"/>
    <col min="15111" max="15111" width="19.28515625" customWidth="1"/>
    <col min="15112" max="15112" width="24.7109375" customWidth="1"/>
    <col min="15113" max="15113" width="24.5703125" customWidth="1"/>
    <col min="15363" max="15363" width="40.5703125" customWidth="1"/>
    <col min="15364" max="15364" width="20.28515625" customWidth="1"/>
    <col min="15365" max="15365" width="18" customWidth="1"/>
    <col min="15366" max="15366" width="22.85546875" customWidth="1"/>
    <col min="15367" max="15367" width="19.28515625" customWidth="1"/>
    <col min="15368" max="15368" width="24.7109375" customWidth="1"/>
    <col min="15369" max="15369" width="24.5703125" customWidth="1"/>
    <col min="15619" max="15619" width="40.5703125" customWidth="1"/>
    <col min="15620" max="15620" width="20.28515625" customWidth="1"/>
    <col min="15621" max="15621" width="18" customWidth="1"/>
    <col min="15622" max="15622" width="22.85546875" customWidth="1"/>
    <col min="15623" max="15623" width="19.28515625" customWidth="1"/>
    <col min="15624" max="15624" width="24.7109375" customWidth="1"/>
    <col min="15625" max="15625" width="24.5703125" customWidth="1"/>
    <col min="15875" max="15875" width="40.5703125" customWidth="1"/>
    <col min="15876" max="15876" width="20.28515625" customWidth="1"/>
    <col min="15877" max="15877" width="18" customWidth="1"/>
    <col min="15878" max="15878" width="22.85546875" customWidth="1"/>
    <col min="15879" max="15879" width="19.28515625" customWidth="1"/>
    <col min="15880" max="15880" width="24.7109375" customWidth="1"/>
    <col min="15881" max="15881" width="24.5703125" customWidth="1"/>
    <col min="16131" max="16131" width="40.5703125" customWidth="1"/>
    <col min="16132" max="16132" width="20.28515625" customWidth="1"/>
    <col min="16133" max="16133" width="18" customWidth="1"/>
    <col min="16134" max="16134" width="22.85546875" customWidth="1"/>
    <col min="16135" max="16135" width="19.28515625" customWidth="1"/>
    <col min="16136" max="16136" width="24.7109375" customWidth="1"/>
    <col min="16137" max="16137" width="24.5703125" customWidth="1"/>
  </cols>
  <sheetData>
    <row r="1" spans="2:15" ht="15.75" thickBot="1" x14ac:dyDescent="0.3"/>
    <row r="2" spans="2:15" ht="99.75" customHeight="1" x14ac:dyDescent="0.25">
      <c r="B2" s="183" t="s">
        <v>320</v>
      </c>
      <c r="C2" s="184"/>
      <c r="D2" s="184"/>
      <c r="E2" s="184"/>
      <c r="F2" s="184"/>
      <c r="G2" s="184"/>
      <c r="H2" s="184"/>
      <c r="I2" s="184"/>
      <c r="J2" s="185"/>
    </row>
    <row r="3" spans="2:15" x14ac:dyDescent="0.25">
      <c r="B3" s="14"/>
      <c r="C3" s="2"/>
      <c r="D3" s="2"/>
      <c r="E3" s="2"/>
      <c r="F3" s="2"/>
      <c r="G3" s="2"/>
      <c r="H3" s="2"/>
      <c r="I3" s="2"/>
      <c r="J3" s="5"/>
    </row>
    <row r="4" spans="2:15" ht="45.75" x14ac:dyDescent="0.25">
      <c r="B4" s="78" t="s">
        <v>180</v>
      </c>
      <c r="C4" s="47" t="s">
        <v>174</v>
      </c>
      <c r="D4" s="48" t="s">
        <v>206</v>
      </c>
      <c r="E4" s="48" t="s">
        <v>325</v>
      </c>
      <c r="F4" s="48" t="s">
        <v>324</v>
      </c>
      <c r="G4" s="48" t="s">
        <v>302</v>
      </c>
      <c r="H4" s="48" t="s">
        <v>319</v>
      </c>
      <c r="I4" s="48" t="s">
        <v>357</v>
      </c>
      <c r="J4" s="5"/>
    </row>
    <row r="5" spans="2:15" ht="15.75" x14ac:dyDescent="0.25">
      <c r="B5" s="79">
        <v>1</v>
      </c>
      <c r="C5" s="80">
        <v>2</v>
      </c>
      <c r="D5" s="80">
        <v>3</v>
      </c>
      <c r="E5" s="80">
        <v>4</v>
      </c>
      <c r="F5" s="80">
        <v>5</v>
      </c>
      <c r="G5" s="80">
        <v>6</v>
      </c>
      <c r="H5" s="80">
        <v>7</v>
      </c>
      <c r="I5" s="80">
        <v>8</v>
      </c>
      <c r="J5" s="5"/>
    </row>
    <row r="6" spans="2:15" ht="30" customHeight="1" x14ac:dyDescent="0.25">
      <c r="B6" s="46"/>
      <c r="C6" s="47"/>
      <c r="D6" s="47"/>
      <c r="E6" s="47"/>
      <c r="F6" s="47"/>
      <c r="G6" s="47"/>
      <c r="H6" s="47" t="s">
        <v>358</v>
      </c>
      <c r="I6" s="47" t="s">
        <v>359</v>
      </c>
      <c r="J6" s="5"/>
    </row>
    <row r="7" spans="2:15" ht="30" customHeight="1" x14ac:dyDescent="0.25">
      <c r="B7" s="46"/>
      <c r="C7" s="47" t="s">
        <v>8</v>
      </c>
      <c r="D7" s="146">
        <v>277556</v>
      </c>
      <c r="E7" s="146">
        <v>982230</v>
      </c>
      <c r="F7" s="146">
        <v>958471</v>
      </c>
      <c r="G7" s="146">
        <v>392877</v>
      </c>
      <c r="H7" s="50">
        <f>G7/D7*100</f>
        <v>141.54873250803442</v>
      </c>
      <c r="I7" s="50">
        <f t="shared" ref="I7:I11" si="0">G7/F7*100</f>
        <v>40.989972570896768</v>
      </c>
      <c r="J7" s="5"/>
    </row>
    <row r="8" spans="2:15" ht="30" customHeight="1" x14ac:dyDescent="0.25">
      <c r="B8" s="46"/>
      <c r="C8" s="47" t="s">
        <v>321</v>
      </c>
      <c r="D8" s="146">
        <v>403551</v>
      </c>
      <c r="E8" s="146">
        <v>216339</v>
      </c>
      <c r="F8" s="146">
        <v>311475</v>
      </c>
      <c r="G8" s="146">
        <v>311475</v>
      </c>
      <c r="H8" s="50">
        <f t="shared" ref="H8:H13" si="1">G8/D8*100</f>
        <v>77.183553008169966</v>
      </c>
      <c r="I8" s="50">
        <f t="shared" si="0"/>
        <v>100</v>
      </c>
      <c r="J8" s="5"/>
    </row>
    <row r="9" spans="2:15" ht="30" customHeight="1" x14ac:dyDescent="0.25">
      <c r="B9" s="46"/>
      <c r="C9" s="145" t="s">
        <v>10</v>
      </c>
      <c r="D9" s="146">
        <f>D7+D8</f>
        <v>681107</v>
      </c>
      <c r="E9" s="146">
        <f>E7+E8</f>
        <v>1198569</v>
      </c>
      <c r="F9" s="146">
        <f>F7+F8</f>
        <v>1269946</v>
      </c>
      <c r="G9" s="146">
        <f>G7+G8</f>
        <v>704352</v>
      </c>
      <c r="H9" s="50">
        <f t="shared" si="1"/>
        <v>103.41282647219894</v>
      </c>
      <c r="I9" s="50">
        <f t="shared" si="0"/>
        <v>55.46314567706029</v>
      </c>
      <c r="J9" s="5"/>
    </row>
    <row r="10" spans="2:15" ht="30" customHeight="1" x14ac:dyDescent="0.25">
      <c r="B10" s="46"/>
      <c r="C10" s="47" t="s">
        <v>197</v>
      </c>
      <c r="D10" s="146">
        <v>579999.32999999996</v>
      </c>
      <c r="E10" s="146">
        <v>1198569</v>
      </c>
      <c r="F10" s="146">
        <v>1269946</v>
      </c>
      <c r="G10" s="146">
        <v>364854</v>
      </c>
      <c r="H10" s="50">
        <f>G10/D10*100</f>
        <v>62.905934736165989</v>
      </c>
      <c r="I10" s="50">
        <f t="shared" si="0"/>
        <v>28.729883002899335</v>
      </c>
      <c r="J10" s="5"/>
    </row>
    <row r="11" spans="2:15" ht="30" customHeight="1" x14ac:dyDescent="0.25">
      <c r="B11" s="46"/>
      <c r="C11" s="145" t="s">
        <v>11</v>
      </c>
      <c r="D11" s="146">
        <v>579999.32999999996</v>
      </c>
      <c r="E11" s="146">
        <f>E10</f>
        <v>1198569</v>
      </c>
      <c r="F11" s="146">
        <v>1269946</v>
      </c>
      <c r="G11" s="146">
        <v>364854</v>
      </c>
      <c r="H11" s="50">
        <f t="shared" si="1"/>
        <v>62.905934736165989</v>
      </c>
      <c r="I11" s="50">
        <f t="shared" si="0"/>
        <v>28.729883002899335</v>
      </c>
      <c r="J11" s="5"/>
    </row>
    <row r="12" spans="2:15" ht="30" customHeight="1" x14ac:dyDescent="0.25">
      <c r="B12" s="46"/>
      <c r="C12" s="47"/>
      <c r="D12" s="146"/>
      <c r="E12" s="146"/>
      <c r="F12" s="146"/>
      <c r="G12" s="146"/>
      <c r="H12" s="50"/>
      <c r="I12" s="50"/>
      <c r="J12" s="5"/>
    </row>
    <row r="13" spans="2:15" ht="30" customHeight="1" x14ac:dyDescent="0.25">
      <c r="B13" s="46"/>
      <c r="C13" s="145" t="s">
        <v>12</v>
      </c>
      <c r="D13" s="146">
        <f>D9-D11</f>
        <v>101107.67000000004</v>
      </c>
      <c r="E13" s="146"/>
      <c r="F13" s="146"/>
      <c r="G13" s="146">
        <f>G9-G11</f>
        <v>339498</v>
      </c>
      <c r="H13" s="50">
        <f t="shared" si="1"/>
        <v>335.77868029200937</v>
      </c>
      <c r="I13" s="50"/>
      <c r="J13" s="5"/>
    </row>
    <row r="14" spans="2:15" x14ac:dyDescent="0.25">
      <c r="O14">
        <v>1</v>
      </c>
    </row>
  </sheetData>
  <mergeCells count="1">
    <mergeCell ref="B2:J2"/>
  </mergeCells>
  <pageMargins left="0.7" right="0.7" top="0.75" bottom="0.75" header="0.3" footer="0.3"/>
  <pageSetup paperSize="9" scale="42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F23" sqref="F23"/>
    </sheetView>
  </sheetViews>
  <sheetFormatPr defaultRowHeight="15" x14ac:dyDescent="0.25"/>
  <cols>
    <col min="1" max="1" width="5.42578125" style="125" customWidth="1"/>
    <col min="2" max="2" width="29.140625" style="125" customWidth="1"/>
    <col min="3" max="3" width="17.7109375" style="125" customWidth="1"/>
    <col min="4" max="8" width="16.7109375" style="125" customWidth="1"/>
    <col min="9" max="9" width="16.42578125" style="125" customWidth="1"/>
    <col min="10" max="256" width="9.140625" style="125"/>
    <col min="257" max="257" width="5.42578125" style="125" customWidth="1"/>
    <col min="258" max="258" width="29.140625" style="125" customWidth="1"/>
    <col min="259" max="259" width="17.7109375" style="125" customWidth="1"/>
    <col min="260" max="264" width="16.7109375" style="125" customWidth="1"/>
    <col min="265" max="265" width="16.42578125" style="125" customWidth="1"/>
    <col min="266" max="512" width="9.140625" style="125"/>
    <col min="513" max="513" width="5.42578125" style="125" customWidth="1"/>
    <col min="514" max="514" width="29.140625" style="125" customWidth="1"/>
    <col min="515" max="515" width="17.7109375" style="125" customWidth="1"/>
    <col min="516" max="520" width="16.7109375" style="125" customWidth="1"/>
    <col min="521" max="521" width="16.42578125" style="125" customWidth="1"/>
    <col min="522" max="768" width="9.140625" style="125"/>
    <col min="769" max="769" width="5.42578125" style="125" customWidth="1"/>
    <col min="770" max="770" width="29.140625" style="125" customWidth="1"/>
    <col min="771" max="771" width="17.7109375" style="125" customWidth="1"/>
    <col min="772" max="776" width="16.7109375" style="125" customWidth="1"/>
    <col min="777" max="777" width="16.42578125" style="125" customWidth="1"/>
    <col min="778" max="1024" width="9.140625" style="125"/>
    <col min="1025" max="1025" width="5.42578125" style="125" customWidth="1"/>
    <col min="1026" max="1026" width="29.140625" style="125" customWidth="1"/>
    <col min="1027" max="1027" width="17.7109375" style="125" customWidth="1"/>
    <col min="1028" max="1032" width="16.7109375" style="125" customWidth="1"/>
    <col min="1033" max="1033" width="16.42578125" style="125" customWidth="1"/>
    <col min="1034" max="1280" width="9.140625" style="125"/>
    <col min="1281" max="1281" width="5.42578125" style="125" customWidth="1"/>
    <col min="1282" max="1282" width="29.140625" style="125" customWidth="1"/>
    <col min="1283" max="1283" width="17.7109375" style="125" customWidth="1"/>
    <col min="1284" max="1288" width="16.7109375" style="125" customWidth="1"/>
    <col min="1289" max="1289" width="16.42578125" style="125" customWidth="1"/>
    <col min="1290" max="1536" width="9.140625" style="125"/>
    <col min="1537" max="1537" width="5.42578125" style="125" customWidth="1"/>
    <col min="1538" max="1538" width="29.140625" style="125" customWidth="1"/>
    <col min="1539" max="1539" width="17.7109375" style="125" customWidth="1"/>
    <col min="1540" max="1544" width="16.7109375" style="125" customWidth="1"/>
    <col min="1545" max="1545" width="16.42578125" style="125" customWidth="1"/>
    <col min="1546" max="1792" width="9.140625" style="125"/>
    <col min="1793" max="1793" width="5.42578125" style="125" customWidth="1"/>
    <col min="1794" max="1794" width="29.140625" style="125" customWidth="1"/>
    <col min="1795" max="1795" width="17.7109375" style="125" customWidth="1"/>
    <col min="1796" max="1800" width="16.7109375" style="125" customWidth="1"/>
    <col min="1801" max="1801" width="16.42578125" style="125" customWidth="1"/>
    <col min="1802" max="2048" width="9.140625" style="125"/>
    <col min="2049" max="2049" width="5.42578125" style="125" customWidth="1"/>
    <col min="2050" max="2050" width="29.140625" style="125" customWidth="1"/>
    <col min="2051" max="2051" width="17.7109375" style="125" customWidth="1"/>
    <col min="2052" max="2056" width="16.7109375" style="125" customWidth="1"/>
    <col min="2057" max="2057" width="16.42578125" style="125" customWidth="1"/>
    <col min="2058" max="2304" width="9.140625" style="125"/>
    <col min="2305" max="2305" width="5.42578125" style="125" customWidth="1"/>
    <col min="2306" max="2306" width="29.140625" style="125" customWidth="1"/>
    <col min="2307" max="2307" width="17.7109375" style="125" customWidth="1"/>
    <col min="2308" max="2312" width="16.7109375" style="125" customWidth="1"/>
    <col min="2313" max="2313" width="16.42578125" style="125" customWidth="1"/>
    <col min="2314" max="2560" width="9.140625" style="125"/>
    <col min="2561" max="2561" width="5.42578125" style="125" customWidth="1"/>
    <col min="2562" max="2562" width="29.140625" style="125" customWidth="1"/>
    <col min="2563" max="2563" width="17.7109375" style="125" customWidth="1"/>
    <col min="2564" max="2568" width="16.7109375" style="125" customWidth="1"/>
    <col min="2569" max="2569" width="16.42578125" style="125" customWidth="1"/>
    <col min="2570" max="2816" width="9.140625" style="125"/>
    <col min="2817" max="2817" width="5.42578125" style="125" customWidth="1"/>
    <col min="2818" max="2818" width="29.140625" style="125" customWidth="1"/>
    <col min="2819" max="2819" width="17.7109375" style="125" customWidth="1"/>
    <col min="2820" max="2824" width="16.7109375" style="125" customWidth="1"/>
    <col min="2825" max="2825" width="16.42578125" style="125" customWidth="1"/>
    <col min="2826" max="3072" width="9.140625" style="125"/>
    <col min="3073" max="3073" width="5.42578125" style="125" customWidth="1"/>
    <col min="3074" max="3074" width="29.140625" style="125" customWidth="1"/>
    <col min="3075" max="3075" width="17.7109375" style="125" customWidth="1"/>
    <col min="3076" max="3080" width="16.7109375" style="125" customWidth="1"/>
    <col min="3081" max="3081" width="16.42578125" style="125" customWidth="1"/>
    <col min="3082" max="3328" width="9.140625" style="125"/>
    <col min="3329" max="3329" width="5.42578125" style="125" customWidth="1"/>
    <col min="3330" max="3330" width="29.140625" style="125" customWidth="1"/>
    <col min="3331" max="3331" width="17.7109375" style="125" customWidth="1"/>
    <col min="3332" max="3336" width="16.7109375" style="125" customWidth="1"/>
    <col min="3337" max="3337" width="16.42578125" style="125" customWidth="1"/>
    <col min="3338" max="3584" width="9.140625" style="125"/>
    <col min="3585" max="3585" width="5.42578125" style="125" customWidth="1"/>
    <col min="3586" max="3586" width="29.140625" style="125" customWidth="1"/>
    <col min="3587" max="3587" width="17.7109375" style="125" customWidth="1"/>
    <col min="3588" max="3592" width="16.7109375" style="125" customWidth="1"/>
    <col min="3593" max="3593" width="16.42578125" style="125" customWidth="1"/>
    <col min="3594" max="3840" width="9.140625" style="125"/>
    <col min="3841" max="3841" width="5.42578125" style="125" customWidth="1"/>
    <col min="3842" max="3842" width="29.140625" style="125" customWidth="1"/>
    <col min="3843" max="3843" width="17.7109375" style="125" customWidth="1"/>
    <col min="3844" max="3848" width="16.7109375" style="125" customWidth="1"/>
    <col min="3849" max="3849" width="16.42578125" style="125" customWidth="1"/>
    <col min="3850" max="4096" width="9.140625" style="125"/>
    <col min="4097" max="4097" width="5.42578125" style="125" customWidth="1"/>
    <col min="4098" max="4098" width="29.140625" style="125" customWidth="1"/>
    <col min="4099" max="4099" width="17.7109375" style="125" customWidth="1"/>
    <col min="4100" max="4104" width="16.7109375" style="125" customWidth="1"/>
    <col min="4105" max="4105" width="16.42578125" style="125" customWidth="1"/>
    <col min="4106" max="4352" width="9.140625" style="125"/>
    <col min="4353" max="4353" width="5.42578125" style="125" customWidth="1"/>
    <col min="4354" max="4354" width="29.140625" style="125" customWidth="1"/>
    <col min="4355" max="4355" width="17.7109375" style="125" customWidth="1"/>
    <col min="4356" max="4360" width="16.7109375" style="125" customWidth="1"/>
    <col min="4361" max="4361" width="16.42578125" style="125" customWidth="1"/>
    <col min="4362" max="4608" width="9.140625" style="125"/>
    <col min="4609" max="4609" width="5.42578125" style="125" customWidth="1"/>
    <col min="4610" max="4610" width="29.140625" style="125" customWidth="1"/>
    <col min="4611" max="4611" width="17.7109375" style="125" customWidth="1"/>
    <col min="4612" max="4616" width="16.7109375" style="125" customWidth="1"/>
    <col min="4617" max="4617" width="16.42578125" style="125" customWidth="1"/>
    <col min="4618" max="4864" width="9.140625" style="125"/>
    <col min="4865" max="4865" width="5.42578125" style="125" customWidth="1"/>
    <col min="4866" max="4866" width="29.140625" style="125" customWidth="1"/>
    <col min="4867" max="4867" width="17.7109375" style="125" customWidth="1"/>
    <col min="4868" max="4872" width="16.7109375" style="125" customWidth="1"/>
    <col min="4873" max="4873" width="16.42578125" style="125" customWidth="1"/>
    <col min="4874" max="5120" width="9.140625" style="125"/>
    <col min="5121" max="5121" width="5.42578125" style="125" customWidth="1"/>
    <col min="5122" max="5122" width="29.140625" style="125" customWidth="1"/>
    <col min="5123" max="5123" width="17.7109375" style="125" customWidth="1"/>
    <col min="5124" max="5128" width="16.7109375" style="125" customWidth="1"/>
    <col min="5129" max="5129" width="16.42578125" style="125" customWidth="1"/>
    <col min="5130" max="5376" width="9.140625" style="125"/>
    <col min="5377" max="5377" width="5.42578125" style="125" customWidth="1"/>
    <col min="5378" max="5378" width="29.140625" style="125" customWidth="1"/>
    <col min="5379" max="5379" width="17.7109375" style="125" customWidth="1"/>
    <col min="5380" max="5384" width="16.7109375" style="125" customWidth="1"/>
    <col min="5385" max="5385" width="16.42578125" style="125" customWidth="1"/>
    <col min="5386" max="5632" width="9.140625" style="125"/>
    <col min="5633" max="5633" width="5.42578125" style="125" customWidth="1"/>
    <col min="5634" max="5634" width="29.140625" style="125" customWidth="1"/>
    <col min="5635" max="5635" width="17.7109375" style="125" customWidth="1"/>
    <col min="5636" max="5640" width="16.7109375" style="125" customWidth="1"/>
    <col min="5641" max="5641" width="16.42578125" style="125" customWidth="1"/>
    <col min="5642" max="5888" width="9.140625" style="125"/>
    <col min="5889" max="5889" width="5.42578125" style="125" customWidth="1"/>
    <col min="5890" max="5890" width="29.140625" style="125" customWidth="1"/>
    <col min="5891" max="5891" width="17.7109375" style="125" customWidth="1"/>
    <col min="5892" max="5896" width="16.7109375" style="125" customWidth="1"/>
    <col min="5897" max="5897" width="16.42578125" style="125" customWidth="1"/>
    <col min="5898" max="6144" width="9.140625" style="125"/>
    <col min="6145" max="6145" width="5.42578125" style="125" customWidth="1"/>
    <col min="6146" max="6146" width="29.140625" style="125" customWidth="1"/>
    <col min="6147" max="6147" width="17.7109375" style="125" customWidth="1"/>
    <col min="6148" max="6152" width="16.7109375" style="125" customWidth="1"/>
    <col min="6153" max="6153" width="16.42578125" style="125" customWidth="1"/>
    <col min="6154" max="6400" width="9.140625" style="125"/>
    <col min="6401" max="6401" width="5.42578125" style="125" customWidth="1"/>
    <col min="6402" max="6402" width="29.140625" style="125" customWidth="1"/>
    <col min="6403" max="6403" width="17.7109375" style="125" customWidth="1"/>
    <col min="6404" max="6408" width="16.7109375" style="125" customWidth="1"/>
    <col min="6409" max="6409" width="16.42578125" style="125" customWidth="1"/>
    <col min="6410" max="6656" width="9.140625" style="125"/>
    <col min="6657" max="6657" width="5.42578125" style="125" customWidth="1"/>
    <col min="6658" max="6658" width="29.140625" style="125" customWidth="1"/>
    <col min="6659" max="6659" width="17.7109375" style="125" customWidth="1"/>
    <col min="6660" max="6664" width="16.7109375" style="125" customWidth="1"/>
    <col min="6665" max="6665" width="16.42578125" style="125" customWidth="1"/>
    <col min="6666" max="6912" width="9.140625" style="125"/>
    <col min="6913" max="6913" width="5.42578125" style="125" customWidth="1"/>
    <col min="6914" max="6914" width="29.140625" style="125" customWidth="1"/>
    <col min="6915" max="6915" width="17.7109375" style="125" customWidth="1"/>
    <col min="6916" max="6920" width="16.7109375" style="125" customWidth="1"/>
    <col min="6921" max="6921" width="16.42578125" style="125" customWidth="1"/>
    <col min="6922" max="7168" width="9.140625" style="125"/>
    <col min="7169" max="7169" width="5.42578125" style="125" customWidth="1"/>
    <col min="7170" max="7170" width="29.140625" style="125" customWidth="1"/>
    <col min="7171" max="7171" width="17.7109375" style="125" customWidth="1"/>
    <col min="7172" max="7176" width="16.7109375" style="125" customWidth="1"/>
    <col min="7177" max="7177" width="16.42578125" style="125" customWidth="1"/>
    <col min="7178" max="7424" width="9.140625" style="125"/>
    <col min="7425" max="7425" width="5.42578125" style="125" customWidth="1"/>
    <col min="7426" max="7426" width="29.140625" style="125" customWidth="1"/>
    <col min="7427" max="7427" width="17.7109375" style="125" customWidth="1"/>
    <col min="7428" max="7432" width="16.7109375" style="125" customWidth="1"/>
    <col min="7433" max="7433" width="16.42578125" style="125" customWidth="1"/>
    <col min="7434" max="7680" width="9.140625" style="125"/>
    <col min="7681" max="7681" width="5.42578125" style="125" customWidth="1"/>
    <col min="7682" max="7682" width="29.140625" style="125" customWidth="1"/>
    <col min="7683" max="7683" width="17.7109375" style="125" customWidth="1"/>
    <col min="7684" max="7688" width="16.7109375" style="125" customWidth="1"/>
    <col min="7689" max="7689" width="16.42578125" style="125" customWidth="1"/>
    <col min="7690" max="7936" width="9.140625" style="125"/>
    <col min="7937" max="7937" width="5.42578125" style="125" customWidth="1"/>
    <col min="7938" max="7938" width="29.140625" style="125" customWidth="1"/>
    <col min="7939" max="7939" width="17.7109375" style="125" customWidth="1"/>
    <col min="7940" max="7944" width="16.7109375" style="125" customWidth="1"/>
    <col min="7945" max="7945" width="16.42578125" style="125" customWidth="1"/>
    <col min="7946" max="8192" width="9.140625" style="125"/>
    <col min="8193" max="8193" width="5.42578125" style="125" customWidth="1"/>
    <col min="8194" max="8194" width="29.140625" style="125" customWidth="1"/>
    <col min="8195" max="8195" width="17.7109375" style="125" customWidth="1"/>
    <col min="8196" max="8200" width="16.7109375" style="125" customWidth="1"/>
    <col min="8201" max="8201" width="16.42578125" style="125" customWidth="1"/>
    <col min="8202" max="8448" width="9.140625" style="125"/>
    <col min="8449" max="8449" width="5.42578125" style="125" customWidth="1"/>
    <col min="8450" max="8450" width="29.140625" style="125" customWidth="1"/>
    <col min="8451" max="8451" width="17.7109375" style="125" customWidth="1"/>
    <col min="8452" max="8456" width="16.7109375" style="125" customWidth="1"/>
    <col min="8457" max="8457" width="16.42578125" style="125" customWidth="1"/>
    <col min="8458" max="8704" width="9.140625" style="125"/>
    <col min="8705" max="8705" width="5.42578125" style="125" customWidth="1"/>
    <col min="8706" max="8706" width="29.140625" style="125" customWidth="1"/>
    <col min="8707" max="8707" width="17.7109375" style="125" customWidth="1"/>
    <col min="8708" max="8712" width="16.7109375" style="125" customWidth="1"/>
    <col min="8713" max="8713" width="16.42578125" style="125" customWidth="1"/>
    <col min="8714" max="8960" width="9.140625" style="125"/>
    <col min="8961" max="8961" width="5.42578125" style="125" customWidth="1"/>
    <col min="8962" max="8962" width="29.140625" style="125" customWidth="1"/>
    <col min="8963" max="8963" width="17.7109375" style="125" customWidth="1"/>
    <col min="8964" max="8968" width="16.7109375" style="125" customWidth="1"/>
    <col min="8969" max="8969" width="16.42578125" style="125" customWidth="1"/>
    <col min="8970" max="9216" width="9.140625" style="125"/>
    <col min="9217" max="9217" width="5.42578125" style="125" customWidth="1"/>
    <col min="9218" max="9218" width="29.140625" style="125" customWidth="1"/>
    <col min="9219" max="9219" width="17.7109375" style="125" customWidth="1"/>
    <col min="9220" max="9224" width="16.7109375" style="125" customWidth="1"/>
    <col min="9225" max="9225" width="16.42578125" style="125" customWidth="1"/>
    <col min="9226" max="9472" width="9.140625" style="125"/>
    <col min="9473" max="9473" width="5.42578125" style="125" customWidth="1"/>
    <col min="9474" max="9474" width="29.140625" style="125" customWidth="1"/>
    <col min="9475" max="9475" width="17.7109375" style="125" customWidth="1"/>
    <col min="9476" max="9480" width="16.7109375" style="125" customWidth="1"/>
    <col min="9481" max="9481" width="16.42578125" style="125" customWidth="1"/>
    <col min="9482" max="9728" width="9.140625" style="125"/>
    <col min="9729" max="9729" width="5.42578125" style="125" customWidth="1"/>
    <col min="9730" max="9730" width="29.140625" style="125" customWidth="1"/>
    <col min="9731" max="9731" width="17.7109375" style="125" customWidth="1"/>
    <col min="9732" max="9736" width="16.7109375" style="125" customWidth="1"/>
    <col min="9737" max="9737" width="16.42578125" style="125" customWidth="1"/>
    <col min="9738" max="9984" width="9.140625" style="125"/>
    <col min="9985" max="9985" width="5.42578125" style="125" customWidth="1"/>
    <col min="9986" max="9986" width="29.140625" style="125" customWidth="1"/>
    <col min="9987" max="9987" width="17.7109375" style="125" customWidth="1"/>
    <col min="9988" max="9992" width="16.7109375" style="125" customWidth="1"/>
    <col min="9993" max="9993" width="16.42578125" style="125" customWidth="1"/>
    <col min="9994" max="10240" width="9.140625" style="125"/>
    <col min="10241" max="10241" width="5.42578125" style="125" customWidth="1"/>
    <col min="10242" max="10242" width="29.140625" style="125" customWidth="1"/>
    <col min="10243" max="10243" width="17.7109375" style="125" customWidth="1"/>
    <col min="10244" max="10248" width="16.7109375" style="125" customWidth="1"/>
    <col min="10249" max="10249" width="16.42578125" style="125" customWidth="1"/>
    <col min="10250" max="10496" width="9.140625" style="125"/>
    <col min="10497" max="10497" width="5.42578125" style="125" customWidth="1"/>
    <col min="10498" max="10498" width="29.140625" style="125" customWidth="1"/>
    <col min="10499" max="10499" width="17.7109375" style="125" customWidth="1"/>
    <col min="10500" max="10504" width="16.7109375" style="125" customWidth="1"/>
    <col min="10505" max="10505" width="16.42578125" style="125" customWidth="1"/>
    <col min="10506" max="10752" width="9.140625" style="125"/>
    <col min="10753" max="10753" width="5.42578125" style="125" customWidth="1"/>
    <col min="10754" max="10754" width="29.140625" style="125" customWidth="1"/>
    <col min="10755" max="10755" width="17.7109375" style="125" customWidth="1"/>
    <col min="10756" max="10760" width="16.7109375" style="125" customWidth="1"/>
    <col min="10761" max="10761" width="16.42578125" style="125" customWidth="1"/>
    <col min="10762" max="11008" width="9.140625" style="125"/>
    <col min="11009" max="11009" width="5.42578125" style="125" customWidth="1"/>
    <col min="11010" max="11010" width="29.140625" style="125" customWidth="1"/>
    <col min="11011" max="11011" width="17.7109375" style="125" customWidth="1"/>
    <col min="11012" max="11016" width="16.7109375" style="125" customWidth="1"/>
    <col min="11017" max="11017" width="16.42578125" style="125" customWidth="1"/>
    <col min="11018" max="11264" width="9.140625" style="125"/>
    <col min="11265" max="11265" width="5.42578125" style="125" customWidth="1"/>
    <col min="11266" max="11266" width="29.140625" style="125" customWidth="1"/>
    <col min="11267" max="11267" width="17.7109375" style="125" customWidth="1"/>
    <col min="11268" max="11272" width="16.7109375" style="125" customWidth="1"/>
    <col min="11273" max="11273" width="16.42578125" style="125" customWidth="1"/>
    <col min="11274" max="11520" width="9.140625" style="125"/>
    <col min="11521" max="11521" width="5.42578125" style="125" customWidth="1"/>
    <col min="11522" max="11522" width="29.140625" style="125" customWidth="1"/>
    <col min="11523" max="11523" width="17.7109375" style="125" customWidth="1"/>
    <col min="11524" max="11528" width="16.7109375" style="125" customWidth="1"/>
    <col min="11529" max="11529" width="16.42578125" style="125" customWidth="1"/>
    <col min="11530" max="11776" width="9.140625" style="125"/>
    <col min="11777" max="11777" width="5.42578125" style="125" customWidth="1"/>
    <col min="11778" max="11778" width="29.140625" style="125" customWidth="1"/>
    <col min="11779" max="11779" width="17.7109375" style="125" customWidth="1"/>
    <col min="11780" max="11784" width="16.7109375" style="125" customWidth="1"/>
    <col min="11785" max="11785" width="16.42578125" style="125" customWidth="1"/>
    <col min="11786" max="12032" width="9.140625" style="125"/>
    <col min="12033" max="12033" width="5.42578125" style="125" customWidth="1"/>
    <col min="12034" max="12034" width="29.140625" style="125" customWidth="1"/>
    <col min="12035" max="12035" width="17.7109375" style="125" customWidth="1"/>
    <col min="12036" max="12040" width="16.7109375" style="125" customWidth="1"/>
    <col min="12041" max="12041" width="16.42578125" style="125" customWidth="1"/>
    <col min="12042" max="12288" width="9.140625" style="125"/>
    <col min="12289" max="12289" width="5.42578125" style="125" customWidth="1"/>
    <col min="12290" max="12290" width="29.140625" style="125" customWidth="1"/>
    <col min="12291" max="12291" width="17.7109375" style="125" customWidth="1"/>
    <col min="12292" max="12296" width="16.7109375" style="125" customWidth="1"/>
    <col min="12297" max="12297" width="16.42578125" style="125" customWidth="1"/>
    <col min="12298" max="12544" width="9.140625" style="125"/>
    <col min="12545" max="12545" width="5.42578125" style="125" customWidth="1"/>
    <col min="12546" max="12546" width="29.140625" style="125" customWidth="1"/>
    <col min="12547" max="12547" width="17.7109375" style="125" customWidth="1"/>
    <col min="12548" max="12552" width="16.7109375" style="125" customWidth="1"/>
    <col min="12553" max="12553" width="16.42578125" style="125" customWidth="1"/>
    <col min="12554" max="12800" width="9.140625" style="125"/>
    <col min="12801" max="12801" width="5.42578125" style="125" customWidth="1"/>
    <col min="12802" max="12802" width="29.140625" style="125" customWidth="1"/>
    <col min="12803" max="12803" width="17.7109375" style="125" customWidth="1"/>
    <col min="12804" max="12808" width="16.7109375" style="125" customWidth="1"/>
    <col min="12809" max="12809" width="16.42578125" style="125" customWidth="1"/>
    <col min="12810" max="13056" width="9.140625" style="125"/>
    <col min="13057" max="13057" width="5.42578125" style="125" customWidth="1"/>
    <col min="13058" max="13058" width="29.140625" style="125" customWidth="1"/>
    <col min="13059" max="13059" width="17.7109375" style="125" customWidth="1"/>
    <col min="13060" max="13064" width="16.7109375" style="125" customWidth="1"/>
    <col min="13065" max="13065" width="16.42578125" style="125" customWidth="1"/>
    <col min="13066" max="13312" width="9.140625" style="125"/>
    <col min="13313" max="13313" width="5.42578125" style="125" customWidth="1"/>
    <col min="13314" max="13314" width="29.140625" style="125" customWidth="1"/>
    <col min="13315" max="13315" width="17.7109375" style="125" customWidth="1"/>
    <col min="13316" max="13320" width="16.7109375" style="125" customWidth="1"/>
    <col min="13321" max="13321" width="16.42578125" style="125" customWidth="1"/>
    <col min="13322" max="13568" width="9.140625" style="125"/>
    <col min="13569" max="13569" width="5.42578125" style="125" customWidth="1"/>
    <col min="13570" max="13570" width="29.140625" style="125" customWidth="1"/>
    <col min="13571" max="13571" width="17.7109375" style="125" customWidth="1"/>
    <col min="13572" max="13576" width="16.7109375" style="125" customWidth="1"/>
    <col min="13577" max="13577" width="16.42578125" style="125" customWidth="1"/>
    <col min="13578" max="13824" width="9.140625" style="125"/>
    <col min="13825" max="13825" width="5.42578125" style="125" customWidth="1"/>
    <col min="13826" max="13826" width="29.140625" style="125" customWidth="1"/>
    <col min="13827" max="13827" width="17.7109375" style="125" customWidth="1"/>
    <col min="13828" max="13832" width="16.7109375" style="125" customWidth="1"/>
    <col min="13833" max="13833" width="16.42578125" style="125" customWidth="1"/>
    <col min="13834" max="14080" width="9.140625" style="125"/>
    <col min="14081" max="14081" width="5.42578125" style="125" customWidth="1"/>
    <col min="14082" max="14082" width="29.140625" style="125" customWidth="1"/>
    <col min="14083" max="14083" width="17.7109375" style="125" customWidth="1"/>
    <col min="14084" max="14088" width="16.7109375" style="125" customWidth="1"/>
    <col min="14089" max="14089" width="16.42578125" style="125" customWidth="1"/>
    <col min="14090" max="14336" width="9.140625" style="125"/>
    <col min="14337" max="14337" width="5.42578125" style="125" customWidth="1"/>
    <col min="14338" max="14338" width="29.140625" style="125" customWidth="1"/>
    <col min="14339" max="14339" width="17.7109375" style="125" customWidth="1"/>
    <col min="14340" max="14344" width="16.7109375" style="125" customWidth="1"/>
    <col min="14345" max="14345" width="16.42578125" style="125" customWidth="1"/>
    <col min="14346" max="14592" width="9.140625" style="125"/>
    <col min="14593" max="14593" width="5.42578125" style="125" customWidth="1"/>
    <col min="14594" max="14594" width="29.140625" style="125" customWidth="1"/>
    <col min="14595" max="14595" width="17.7109375" style="125" customWidth="1"/>
    <col min="14596" max="14600" width="16.7109375" style="125" customWidth="1"/>
    <col min="14601" max="14601" width="16.42578125" style="125" customWidth="1"/>
    <col min="14602" max="14848" width="9.140625" style="125"/>
    <col min="14849" max="14849" width="5.42578125" style="125" customWidth="1"/>
    <col min="14850" max="14850" width="29.140625" style="125" customWidth="1"/>
    <col min="14851" max="14851" width="17.7109375" style="125" customWidth="1"/>
    <col min="14852" max="14856" width="16.7109375" style="125" customWidth="1"/>
    <col min="14857" max="14857" width="16.42578125" style="125" customWidth="1"/>
    <col min="14858" max="15104" width="9.140625" style="125"/>
    <col min="15105" max="15105" width="5.42578125" style="125" customWidth="1"/>
    <col min="15106" max="15106" width="29.140625" style="125" customWidth="1"/>
    <col min="15107" max="15107" width="17.7109375" style="125" customWidth="1"/>
    <col min="15108" max="15112" width="16.7109375" style="125" customWidth="1"/>
    <col min="15113" max="15113" width="16.42578125" style="125" customWidth="1"/>
    <col min="15114" max="15360" width="9.140625" style="125"/>
    <col min="15361" max="15361" width="5.42578125" style="125" customWidth="1"/>
    <col min="15362" max="15362" width="29.140625" style="125" customWidth="1"/>
    <col min="15363" max="15363" width="17.7109375" style="125" customWidth="1"/>
    <col min="15364" max="15368" width="16.7109375" style="125" customWidth="1"/>
    <col min="15369" max="15369" width="16.42578125" style="125" customWidth="1"/>
    <col min="15370" max="15616" width="9.140625" style="125"/>
    <col min="15617" max="15617" width="5.42578125" style="125" customWidth="1"/>
    <col min="15618" max="15618" width="29.140625" style="125" customWidth="1"/>
    <col min="15619" max="15619" width="17.7109375" style="125" customWidth="1"/>
    <col min="15620" max="15624" width="16.7109375" style="125" customWidth="1"/>
    <col min="15625" max="15625" width="16.42578125" style="125" customWidth="1"/>
    <col min="15626" max="15872" width="9.140625" style="125"/>
    <col min="15873" max="15873" width="5.42578125" style="125" customWidth="1"/>
    <col min="15874" max="15874" width="29.140625" style="125" customWidth="1"/>
    <col min="15875" max="15875" width="17.7109375" style="125" customWidth="1"/>
    <col min="15876" max="15880" width="16.7109375" style="125" customWidth="1"/>
    <col min="15881" max="15881" width="16.42578125" style="125" customWidth="1"/>
    <col min="15882" max="16128" width="9.140625" style="125"/>
    <col min="16129" max="16129" width="5.42578125" style="125" customWidth="1"/>
    <col min="16130" max="16130" width="29.140625" style="125" customWidth="1"/>
    <col min="16131" max="16131" width="17.7109375" style="125" customWidth="1"/>
    <col min="16132" max="16136" width="16.7109375" style="125" customWidth="1"/>
    <col min="16137" max="16137" width="16.42578125" style="125" customWidth="1"/>
    <col min="16138" max="16384" width="9.140625" style="125"/>
  </cols>
  <sheetData>
    <row r="1" spans="1:9" ht="3.2" customHeight="1" x14ac:dyDescent="0.25">
      <c r="B1" s="263"/>
      <c r="C1" s="263"/>
      <c r="D1" s="263"/>
      <c r="F1" s="263"/>
      <c r="G1" s="263"/>
      <c r="H1" s="263"/>
    </row>
    <row r="2" spans="1:9" ht="31.15" customHeight="1" x14ac:dyDescent="0.25">
      <c r="B2" s="264" t="s">
        <v>364</v>
      </c>
      <c r="C2" s="265"/>
      <c r="D2" s="266"/>
      <c r="F2" s="267">
        <v>99085069175</v>
      </c>
      <c r="G2" s="267">
        <v>36401</v>
      </c>
      <c r="H2" s="267" t="s">
        <v>365</v>
      </c>
    </row>
    <row r="3" spans="1:9" x14ac:dyDescent="0.25">
      <c r="B3" s="125" t="s">
        <v>366</v>
      </c>
      <c r="F3" s="268" t="s">
        <v>367</v>
      </c>
      <c r="G3" s="268" t="s">
        <v>368</v>
      </c>
      <c r="H3" s="268" t="s">
        <v>369</v>
      </c>
    </row>
    <row r="4" spans="1:9" x14ac:dyDescent="0.25">
      <c r="F4" s="268"/>
      <c r="G4" s="268"/>
      <c r="H4" s="268"/>
    </row>
    <row r="5" spans="1:9" x14ac:dyDescent="0.25">
      <c r="F5" s="268"/>
      <c r="G5" s="268"/>
      <c r="H5" s="268"/>
    </row>
    <row r="6" spans="1:9" ht="15.75" x14ac:dyDescent="0.25">
      <c r="B6" s="176" t="s">
        <v>370</v>
      </c>
      <c r="C6" s="176"/>
      <c r="D6" s="176"/>
      <c r="E6" s="176"/>
      <c r="F6" s="176"/>
      <c r="G6" s="176"/>
      <c r="H6" s="176"/>
      <c r="I6" s="176"/>
    </row>
    <row r="7" spans="1:9" ht="20.25" customHeight="1" x14ac:dyDescent="0.25">
      <c r="B7" s="134"/>
      <c r="C7" s="134"/>
      <c r="D7" s="134"/>
      <c r="E7" s="134"/>
      <c r="F7" s="134"/>
      <c r="G7" s="134"/>
      <c r="H7" s="134"/>
      <c r="I7" s="134"/>
    </row>
    <row r="8" spans="1:9" ht="42.75" x14ac:dyDescent="0.25">
      <c r="A8" s="126" t="s">
        <v>285</v>
      </c>
      <c r="B8" s="135" t="s">
        <v>295</v>
      </c>
      <c r="C8" s="126" t="s">
        <v>296</v>
      </c>
      <c r="D8" s="126" t="s">
        <v>297</v>
      </c>
      <c r="E8" s="126" t="s">
        <v>298</v>
      </c>
      <c r="F8" s="126" t="s">
        <v>299</v>
      </c>
      <c r="G8" s="126" t="s">
        <v>300</v>
      </c>
      <c r="H8" s="126" t="s">
        <v>301</v>
      </c>
      <c r="I8" s="126" t="s">
        <v>293</v>
      </c>
    </row>
    <row r="9" spans="1:9" ht="60" x14ac:dyDescent="0.25">
      <c r="A9" s="269">
        <v>1</v>
      </c>
      <c r="B9" s="270" t="s">
        <v>371</v>
      </c>
      <c r="C9" s="271" t="s">
        <v>372</v>
      </c>
      <c r="D9" s="272">
        <v>50000</v>
      </c>
      <c r="E9" s="271" t="s">
        <v>373</v>
      </c>
      <c r="F9" s="271" t="s">
        <v>374</v>
      </c>
      <c r="G9" s="271" t="s">
        <v>375</v>
      </c>
      <c r="H9" s="271" t="s">
        <v>376</v>
      </c>
      <c r="I9" s="271" t="s">
        <v>377</v>
      </c>
    </row>
    <row r="10" spans="1:9" ht="60" x14ac:dyDescent="0.25">
      <c r="A10" s="273">
        <v>2</v>
      </c>
      <c r="B10" s="274" t="s">
        <v>378</v>
      </c>
      <c r="C10" s="275" t="s">
        <v>379</v>
      </c>
      <c r="D10" s="272">
        <v>79300</v>
      </c>
      <c r="E10" s="271" t="s">
        <v>380</v>
      </c>
      <c r="F10" s="271" t="s">
        <v>374</v>
      </c>
      <c r="G10" s="271" t="s">
        <v>381</v>
      </c>
      <c r="H10" s="276" t="s">
        <v>382</v>
      </c>
      <c r="I10" s="271" t="s">
        <v>377</v>
      </c>
    </row>
    <row r="11" spans="1:9" ht="60" x14ac:dyDescent="0.25">
      <c r="A11" s="277">
        <v>3</v>
      </c>
      <c r="B11" s="278" t="s">
        <v>383</v>
      </c>
      <c r="C11" s="271" t="s">
        <v>372</v>
      </c>
      <c r="D11" s="279">
        <v>15000</v>
      </c>
      <c r="E11" s="271" t="s">
        <v>373</v>
      </c>
      <c r="F11" s="271" t="s">
        <v>374</v>
      </c>
      <c r="G11" s="271" t="s">
        <v>384</v>
      </c>
      <c r="H11" s="271" t="s">
        <v>385</v>
      </c>
      <c r="I11" s="271" t="s">
        <v>377</v>
      </c>
    </row>
    <row r="12" spans="1:9" ht="15" customHeight="1" x14ac:dyDescent="0.25">
      <c r="A12" s="280" t="s">
        <v>386</v>
      </c>
      <c r="B12" s="281"/>
      <c r="C12" s="282"/>
      <c r="D12" s="283">
        <f>SUM(D9:D11)</f>
        <v>144300</v>
      </c>
      <c r="E12" s="284"/>
      <c r="F12" s="284"/>
      <c r="G12" s="284"/>
      <c r="H12" s="285"/>
      <c r="I12" s="286"/>
    </row>
  </sheetData>
  <mergeCells count="4">
    <mergeCell ref="B2:D2"/>
    <mergeCell ref="B6:I6"/>
    <mergeCell ref="A12:C12"/>
    <mergeCell ref="H12:I12"/>
  </mergeCells>
  <conditionalFormatting sqref="D10 D12:G12">
    <cfRule type="cellIs" dxfId="1" priority="2" stopIfTrue="1" operator="lessThan">
      <formula>0</formula>
    </cfRule>
  </conditionalFormatting>
  <conditionalFormatting sqref="D9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10</vt:i4>
      </vt:variant>
    </vt:vector>
  </HeadingPairs>
  <TitlesOfParts>
    <vt:vector size="10" baseType="lpstr">
      <vt:lpstr>TBL.1-Opći dio_sažetak</vt:lpstr>
      <vt:lpstr>TBL.2-Opći dio_PR-RA- If</vt:lpstr>
      <vt:lpstr>TBL.8-Poseban dio_RA</vt:lpstr>
      <vt:lpstr>TBL.3-Opći dio_prihodi-ek.k</vt:lpstr>
      <vt:lpstr>TBL.4-Opći dio_prihodi-if</vt:lpstr>
      <vt:lpstr>TBL.5-Opći dio_rashodi-ek.k</vt:lpstr>
      <vt:lpstr>TBL.6-Opći dio_rashodi-if</vt:lpstr>
      <vt:lpstr>TBL.7-Zaključak</vt:lpstr>
      <vt:lpstr>TBL.9-Posebni izvj.-jamstva</vt:lpstr>
      <vt:lpstr>TBL.10-Posebni izvj.sudski spor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2023-07-26T14:00:07Z</cp:lastPrinted>
  <dcterms:created xsi:type="dcterms:W3CDTF">2022-03-04T12:20:15Z</dcterms:created>
  <dcterms:modified xsi:type="dcterms:W3CDTF">2023-08-03T10:26:43Z</dcterms:modified>
</cp:coreProperties>
</file>